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12" windowHeight="9000" activeTab="1"/>
  </bookViews>
  <sheets>
    <sheet name="Notes" sheetId="1" r:id="rId1"/>
    <sheet name="Basic" sheetId="2" r:id="rId2"/>
    <sheet name="CallsPuts" sheetId="3" r:id="rId3"/>
    <sheet name="PayoffGraphs" sheetId="4" r:id="rId4"/>
    <sheet name="Strategies" sheetId="5" r:id="rId5"/>
  </sheets>
  <definedNames/>
  <calcPr fullCalcOnLoad="1"/>
</workbook>
</file>

<file path=xl/comments4.xml><?xml version="1.0" encoding="utf-8"?>
<comments xmlns="http://schemas.openxmlformats.org/spreadsheetml/2006/main">
  <authors>
    <author>Peter McPhee</author>
  </authors>
  <commentList>
    <comment ref="A3" authorId="0">
      <text>
        <r>
          <rPr>
            <sz val="9"/>
            <rFont val="Tahoma"/>
            <family val="2"/>
          </rPr>
          <t>How many contracts to buy or sell. Positive for long and negative for short.</t>
        </r>
      </text>
    </comment>
    <comment ref="A4" authorId="0">
      <text>
        <r>
          <rPr>
            <sz val="9"/>
            <rFont val="Tahoma"/>
            <family val="2"/>
          </rPr>
          <t>Call, Put or Stock</t>
        </r>
      </text>
    </comment>
    <comment ref="A5" authorId="0">
      <text>
        <r>
          <rPr>
            <sz val="9"/>
            <rFont val="Tahoma"/>
            <family val="2"/>
          </rPr>
          <t>Strike price for the option or buy price for the stock.</t>
        </r>
      </text>
    </comment>
  </commentList>
</comments>
</file>

<file path=xl/comments5.xml><?xml version="1.0" encoding="utf-8"?>
<comments xmlns="http://schemas.openxmlformats.org/spreadsheetml/2006/main">
  <authors>
    <author>Peter McPhee</author>
  </authors>
  <commentList>
    <comment ref="A9" authorId="0">
      <text>
        <r>
          <rPr>
            <sz val="9"/>
            <rFont val="Tahoma"/>
            <family val="0"/>
          </rPr>
          <t>The volatility used for the theoretical calculations e.g theoretical price, delta, gamma etc. If you're entering market prices into Market Price then make sure you copy the Implied Volatility into Model Volatility in order for the date simulations with the arrow buttons to work correctly. Use the Copy Vols button for this.</t>
        </r>
      </text>
    </comment>
    <comment ref="A5" authorId="0">
      <text>
        <r>
          <rPr>
            <sz val="9"/>
            <rFont val="Tahoma"/>
            <family val="2"/>
          </rPr>
          <t>Call, Put or Stock</t>
        </r>
      </text>
    </comment>
    <comment ref="A4" authorId="0">
      <text>
        <r>
          <rPr>
            <sz val="9"/>
            <rFont val="Tahoma"/>
            <family val="2"/>
          </rPr>
          <t>How many contracts to buy or sell. Positive for long and negative for short.</t>
        </r>
      </text>
    </comment>
    <comment ref="A6" authorId="0">
      <text>
        <r>
          <rPr>
            <sz val="9"/>
            <rFont val="Tahoma"/>
            <family val="2"/>
          </rPr>
          <t>Strike price for the option or buy price for the stock.</t>
        </r>
      </text>
    </comment>
  </commentList>
</comments>
</file>

<file path=xl/sharedStrings.xml><?xml version="1.0" encoding="utf-8"?>
<sst xmlns="http://schemas.openxmlformats.org/spreadsheetml/2006/main" count="192" uniqueCount="119">
  <si>
    <t>Underlying Price</t>
  </si>
  <si>
    <t>Risk Free Rate</t>
  </si>
  <si>
    <t>Expiry Date</t>
  </si>
  <si>
    <t>Today's Date</t>
  </si>
  <si>
    <t>Delta</t>
  </si>
  <si>
    <t>Gamma</t>
  </si>
  <si>
    <t>Vega</t>
  </si>
  <si>
    <t>Theta</t>
  </si>
  <si>
    <t>Historical Volatility</t>
  </si>
  <si>
    <t>Theoretical</t>
  </si>
  <si>
    <t>Type</t>
  </si>
  <si>
    <t>Contracts</t>
  </si>
  <si>
    <t>Call Option</t>
  </si>
  <si>
    <t>Put Option</t>
  </si>
  <si>
    <t>Theoretical Price</t>
  </si>
  <si>
    <t>Exercise Price</t>
  </si>
  <si>
    <t>The current base price of the instrument, eg, the closing price of Microsft Stock</t>
  </si>
  <si>
    <t>The Date which the contract expires</t>
  </si>
  <si>
    <t>Rho</t>
  </si>
  <si>
    <t>The price at which the underlying instrument will be exchanged. Also called Strike Price</t>
  </si>
  <si>
    <t>The Historical Volatility of the asset's returns</t>
  </si>
  <si>
    <t>The current risk free interest rate i.e. your return on cash held in the bank</t>
  </si>
  <si>
    <t>The amount that the theoretical price will change if the market moves up/down 1 point</t>
  </si>
  <si>
    <t>The amount that the Delta will change if the market moves up/down 1 point</t>
  </si>
  <si>
    <t>The amount that the theoretical price will change when 1 day passes.</t>
  </si>
  <si>
    <t>The amount that the theoretical price will change if the volatility of the asset moves up/down by 1 percentage point</t>
  </si>
  <si>
    <t>The amount that the theoretical price will change if interest rates move up/down by 1 percentage point</t>
  </si>
  <si>
    <t>Total</t>
  </si>
  <si>
    <t>Strike</t>
  </si>
  <si>
    <t>Total Cost</t>
  </si>
  <si>
    <t>Premium Used</t>
  </si>
  <si>
    <t>Graph Increment</t>
  </si>
  <si>
    <t>Position Delta</t>
  </si>
  <si>
    <t>Position Gamma</t>
  </si>
  <si>
    <t>Position Theta</t>
  </si>
  <si>
    <t>Position Vega</t>
  </si>
  <si>
    <t>Position Rho</t>
  </si>
  <si>
    <t>Basic</t>
  </si>
  <si>
    <t>The worksheet labelled Basic is a simple option pricer.</t>
  </si>
  <si>
    <t>OptionStrategies</t>
  </si>
  <si>
    <t>For Type, just enter "c" for call options, "p" for put options and "s" for stock/futures position.</t>
  </si>
  <si>
    <t>Call</t>
  </si>
  <si>
    <t>Dividened Yield</t>
  </si>
  <si>
    <t>The Annualized Dividend Growth Rate of the Stock</t>
  </si>
  <si>
    <t>Dividend Yield</t>
  </si>
  <si>
    <t>Troubleshooting</t>
  </si>
  <si>
    <t>Excel 97 - 2003</t>
  </si>
  <si>
    <t>Go to Tools/Options</t>
  </si>
  <si>
    <t>Click on the Security tab</t>
  </si>
  <si>
    <t>Go to Macro Security</t>
  </si>
  <si>
    <t>Change the setting to Medium</t>
  </si>
  <si>
    <t>Close and reopen the workbook. It will ask you if you want to enable Macros, click Yes</t>
  </si>
  <si>
    <t>Excel 2007</t>
  </si>
  <si>
    <t>First, make sure that you can see the Developer tab</t>
  </si>
  <si>
    <t>If there is no Developer tab, click on the Office icon to the top left of the application</t>
  </si>
  <si>
    <t>and choose Excel Options, which is located at the bottom right of the popup.</t>
  </si>
  <si>
    <t>Now click on Popular at the top left. Check the box titled "Show developer tab in the ribbon".</t>
  </si>
  <si>
    <t>Now, click on the Developer tab.</t>
  </si>
  <si>
    <t>Click on Macro Security.</t>
  </si>
  <si>
    <t>Select "Disable all macros with notification" and press ok.</t>
  </si>
  <si>
    <t>Close and reopen spreadsheet.</t>
  </si>
  <si>
    <t>Now you should see a Security Warning appear in the toolbar</t>
  </si>
  <si>
    <t>that reads "Macros have been disabled". Click on the options button.</t>
  </si>
  <si>
    <t>Select "Enable this content" and press ok.</t>
  </si>
  <si>
    <t>You will need to have Macros enabled for the calculations to work.</t>
  </si>
  <si>
    <t>Follow the steps below to enable Macros:</t>
  </si>
  <si>
    <t>Calculation Date</t>
  </si>
  <si>
    <t>Market Price</t>
  </si>
  <si>
    <t>Implied Volatility</t>
  </si>
  <si>
    <t>Date Offset</t>
  </si>
  <si>
    <t>Option Multiplier</t>
  </si>
  <si>
    <t>P&amp;L (Theoretical)</t>
  </si>
  <si>
    <t>Lookup Table</t>
  </si>
  <si>
    <t>Payoff at Expiration</t>
  </si>
  <si>
    <t>Pos1</t>
  </si>
  <si>
    <t>Pos2</t>
  </si>
  <si>
    <t>Pos3</t>
  </si>
  <si>
    <t>Pos4</t>
  </si>
  <si>
    <t>Pos5</t>
  </si>
  <si>
    <t>Pos6</t>
  </si>
  <si>
    <t>Pos7</t>
  </si>
  <si>
    <t>Pos8</t>
  </si>
  <si>
    <t>Pos9</t>
  </si>
  <si>
    <t>Pos10</t>
  </si>
  <si>
    <t>The volatility that is implied by the market prices of the options</t>
  </si>
  <si>
    <t>Model Volatility</t>
  </si>
  <si>
    <t>Long Call</t>
  </si>
  <si>
    <t>Short Call</t>
  </si>
  <si>
    <t>Long Put</t>
  </si>
  <si>
    <t>Short Put</t>
  </si>
  <si>
    <t>Stock Price</t>
  </si>
  <si>
    <t>c</t>
  </si>
  <si>
    <t>p</t>
  </si>
  <si>
    <t>Payoff</t>
  </si>
  <si>
    <t>Contact</t>
  </si>
  <si>
    <t>Subscribe</t>
  </si>
  <si>
    <t>Subscribe to my newsletter to stay up to date with any changes:</t>
  </si>
  <si>
    <t>If you have any suggestions for this workbook or even have a bug to report, please feel free to email:</t>
  </si>
  <si>
    <t>VBA</t>
  </si>
  <si>
    <t>The formulas used for this spreadsheet were based on the call and put price functions by Simon Benninga</t>
  </si>
  <si>
    <t>in his book Financial Modelling.</t>
  </si>
  <si>
    <t>You can also visiti the Trouble Shooting page:</t>
  </si>
  <si>
    <t>http://www.optiontradingtips.com/pricing/workbook-support.html</t>
  </si>
  <si>
    <t>The model will generate theoretical values for a call and put option.</t>
  </si>
  <si>
    <t>Enter the pricing inputs into the white cells, C3 to C9.</t>
  </si>
  <si>
    <t>PayoffGraphs</t>
  </si>
  <si>
    <t>This table shows you the payoff profile for basic long/short call and put options.</t>
  </si>
  <si>
    <t>You change the selection from the dropdown menu under the inputs table.</t>
  </si>
  <si>
    <t>The P&amp;L is calculated assuming the contract size of the option is 100.</t>
  </si>
  <si>
    <t>The Strategies tab lets you enter combinations of option positions so you can view the payoff/risk graphs.</t>
  </si>
  <si>
    <t>The underlying data is to be entered into the white cells in column P.</t>
  </si>
  <si>
    <t>Enter the option/stock legs in columns B through to K.</t>
  </si>
  <si>
    <t>You don't need to enter a market price; you can use your own input volatility in row 9.</t>
  </si>
  <si>
    <t>However, if you do enter a market price the sheet will calculate the Implied Volatility from those prices.</t>
  </si>
  <si>
    <t>If you are going to do simulations on the date by using the Toggle arrows, then you will need to copy over</t>
  </si>
  <si>
    <t>the implied vols into the model vols by using the CopyVols button.</t>
  </si>
  <si>
    <t>Graph Center</t>
  </si>
  <si>
    <t>https://www.optiontradingtips.com/contact.html</t>
  </si>
  <si>
    <t>https://www.optiontradingtips.com/subscribe.html</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</si>
</sst>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dddd\,\ mmmm\ dd\,\ yyyy"/>
    <numFmt numFmtId="179" formatCode="[$-409]d\-mmm\-yy;@"/>
    <numFmt numFmtId="180" formatCode="0.0000"/>
    <numFmt numFmtId="181" formatCode="#,##0.0"/>
    <numFmt numFmtId="182" formatCode="#,##0.000"/>
    <numFmt numFmtId="183" formatCode="#,##0.0000"/>
    <numFmt numFmtId="184" formatCode="#,##0.00000"/>
    <numFmt numFmtId="185" formatCode="0.00000"/>
    <numFmt numFmtId="186" formatCode="0.0%"/>
    <numFmt numFmtId="187" formatCode="#,##0.000000"/>
    <numFmt numFmtId="188" formatCode="#,##0.0000000"/>
    <numFmt numFmtId="189" formatCode="#,##0.00000000"/>
    <numFmt numFmtId="190" formatCode="#,##0.000000000"/>
    <numFmt numFmtId="191" formatCode="#,##0.0000000000"/>
    <numFmt numFmtId="192" formatCode="#,##0.00000000000"/>
    <numFmt numFmtId="193" formatCode="#,##0.000000000000"/>
    <numFmt numFmtId="194" formatCode="#,##0.0000000000000"/>
    <numFmt numFmtId="195" formatCode="#,##0.00000000000000"/>
    <numFmt numFmtId="196" formatCode="#,##0.000000000000000"/>
    <numFmt numFmtId="197" formatCode="#,##0.0000000000000000"/>
    <numFmt numFmtId="198" formatCode="m/d/yy;@"/>
    <numFmt numFmtId="199" formatCode="[$-409]dd\-mmm\-yy;@"/>
    <numFmt numFmtId="200" formatCode="0.0"/>
    <numFmt numFmtId="201" formatCode="0.000"/>
    <numFmt numFmtId="202" formatCode="dd/mm/yyyy"/>
    <numFmt numFmtId="203" formatCode="dd/mm/yyyy\ h:mm"/>
  </numFmts>
  <fonts count="56">
    <font>
      <sz val="10"/>
      <name val="Arial"/>
      <family val="0"/>
    </font>
    <font>
      <sz val="8"/>
      <name val="Arial"/>
      <family val="2"/>
    </font>
    <font>
      <u val="single"/>
      <sz val="10"/>
      <color indexed="12"/>
      <name val="Arial"/>
      <family val="2"/>
    </font>
    <font>
      <u val="single"/>
      <sz val="10"/>
      <color indexed="36"/>
      <name val="Arial"/>
      <family val="2"/>
    </font>
    <font>
      <sz val="9"/>
      <name val="Tahoma"/>
      <family val="0"/>
    </font>
    <font>
      <sz val="10"/>
      <color indexed="8"/>
      <name val="Calibri"/>
      <family val="0"/>
    </font>
    <font>
      <sz val="9"/>
      <color indexed="63"/>
      <name val="Calibri"/>
      <family val="0"/>
    </font>
    <font>
      <sz val="12"/>
      <color indexed="63"/>
      <name val="Calibri"/>
      <family val="0"/>
    </font>
    <font>
      <sz val="10"/>
      <color indexed="63"/>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alibri"/>
      <family val="2"/>
    </font>
    <font>
      <sz val="12"/>
      <name val="Calibri"/>
      <family val="2"/>
    </font>
    <font>
      <i/>
      <sz val="12"/>
      <name val="Calibri"/>
      <family val="2"/>
    </font>
    <font>
      <sz val="11"/>
      <name val="Calibri"/>
      <family val="2"/>
    </font>
    <font>
      <u val="single"/>
      <sz val="12"/>
      <color indexed="12"/>
      <name val="Calibri"/>
      <family val="2"/>
    </font>
    <font>
      <b/>
      <sz val="12"/>
      <name val="Calibri"/>
      <family val="2"/>
    </font>
    <font>
      <b/>
      <sz val="12"/>
      <color indexed="9"/>
      <name val="Calibri"/>
      <family val="2"/>
    </font>
    <font>
      <sz val="12"/>
      <color indexed="12"/>
      <name val="Calibri"/>
      <family val="2"/>
    </font>
    <font>
      <sz val="8"/>
      <name val="Segoe UI"/>
      <family val="2"/>
    </font>
    <font>
      <sz val="14"/>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Calibri"/>
      <family val="2"/>
    </font>
    <font>
      <b/>
      <sz val="12"/>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0999699980020523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style="double"/>
    </border>
    <border>
      <left>
        <color indexed="63"/>
      </left>
      <right>
        <color indexed="63"/>
      </right>
      <top style="thin"/>
      <bottom style="double"/>
    </border>
    <border>
      <left style="thin"/>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9">
    <xf numFmtId="0" fontId="0" fillId="0" borderId="0" xfId="0" applyAlignment="1">
      <alignment/>
    </xf>
    <xf numFmtId="0" fontId="53" fillId="33" borderId="10" xfId="0" applyFont="1" applyFill="1" applyBorder="1" applyAlignment="1">
      <alignment horizontal="right"/>
    </xf>
    <xf numFmtId="0" fontId="53" fillId="33" borderId="11" xfId="0" applyFont="1" applyFill="1" applyBorder="1" applyAlignment="1">
      <alignment horizontal="right"/>
    </xf>
    <xf numFmtId="0" fontId="53" fillId="33" borderId="12" xfId="0" applyFont="1" applyFill="1" applyBorder="1" applyAlignment="1">
      <alignment horizontal="right"/>
    </xf>
    <xf numFmtId="0" fontId="53" fillId="33" borderId="13" xfId="0" applyFont="1" applyFill="1" applyBorder="1" applyAlignment="1">
      <alignment horizontal="right"/>
    </xf>
    <xf numFmtId="0" fontId="53" fillId="33" borderId="14" xfId="0" applyFont="1" applyFill="1" applyBorder="1" applyAlignment="1">
      <alignment horizontal="right"/>
    </xf>
    <xf numFmtId="0" fontId="53" fillId="33" borderId="15" xfId="0" applyFont="1" applyFill="1" applyBorder="1" applyAlignment="1">
      <alignment horizontal="center"/>
    </xf>
    <xf numFmtId="0" fontId="53" fillId="33" borderId="16" xfId="0" applyFont="1" applyFill="1" applyBorder="1" applyAlignment="1">
      <alignment horizontal="center"/>
    </xf>
    <xf numFmtId="0" fontId="27" fillId="34" borderId="17" xfId="0" applyFont="1" applyFill="1" applyBorder="1" applyAlignment="1">
      <alignment/>
    </xf>
    <xf numFmtId="0" fontId="27" fillId="34" borderId="13" xfId="0" applyFont="1" applyFill="1" applyBorder="1" applyAlignment="1">
      <alignment/>
    </xf>
    <xf numFmtId="14" fontId="27" fillId="34" borderId="13" xfId="0" applyNumberFormat="1" applyFont="1" applyFill="1" applyBorder="1" applyAlignment="1">
      <alignment/>
    </xf>
    <xf numFmtId="9" fontId="27" fillId="34" borderId="13" xfId="0" applyNumberFormat="1" applyFont="1" applyFill="1" applyBorder="1" applyAlignment="1">
      <alignment/>
    </xf>
    <xf numFmtId="10" fontId="27" fillId="34" borderId="13" xfId="0" applyNumberFormat="1" applyFont="1" applyFill="1" applyBorder="1" applyAlignment="1">
      <alignment/>
    </xf>
    <xf numFmtId="10" fontId="27" fillId="34" borderId="14" xfId="0" applyNumberFormat="1" applyFont="1" applyFill="1" applyBorder="1" applyAlignment="1">
      <alignment/>
    </xf>
    <xf numFmtId="4" fontId="27" fillId="34" borderId="0" xfId="0" applyNumberFormat="1" applyFont="1" applyFill="1" applyBorder="1" applyAlignment="1">
      <alignment/>
    </xf>
    <xf numFmtId="4" fontId="27" fillId="34" borderId="18" xfId="0" applyNumberFormat="1" applyFont="1" applyFill="1" applyBorder="1" applyAlignment="1">
      <alignment/>
    </xf>
    <xf numFmtId="0" fontId="27" fillId="35" borderId="0" xfId="0" applyFont="1" applyFill="1" applyAlignment="1">
      <alignment horizontal="right"/>
    </xf>
    <xf numFmtId="0" fontId="27" fillId="35" borderId="0" xfId="0" applyFont="1" applyFill="1" applyAlignment="1">
      <alignment/>
    </xf>
    <xf numFmtId="0" fontId="28" fillId="35" borderId="0" xfId="0" applyFont="1" applyFill="1" applyAlignment="1">
      <alignment/>
    </xf>
    <xf numFmtId="4" fontId="27" fillId="35" borderId="0" xfId="0" applyNumberFormat="1" applyFont="1" applyFill="1" applyAlignment="1">
      <alignment/>
    </xf>
    <xf numFmtId="183" fontId="27" fillId="36" borderId="10" xfId="0" applyNumberFormat="1" applyFont="1" applyFill="1" applyBorder="1" applyAlignment="1" quotePrefix="1">
      <alignment/>
    </xf>
    <xf numFmtId="183" fontId="27" fillId="36" borderId="19" xfId="0" applyNumberFormat="1" applyFont="1" applyFill="1" applyBorder="1" applyAlignment="1" quotePrefix="1">
      <alignment/>
    </xf>
    <xf numFmtId="183" fontId="27" fillId="36" borderId="11" xfId="0" applyNumberFormat="1" applyFont="1" applyFill="1" applyBorder="1" applyAlignment="1">
      <alignment/>
    </xf>
    <xf numFmtId="183" fontId="27" fillId="36" borderId="18" xfId="0" applyNumberFormat="1" applyFont="1" applyFill="1" applyBorder="1" applyAlignment="1">
      <alignment/>
    </xf>
    <xf numFmtId="183" fontId="27" fillId="36" borderId="12" xfId="0" applyNumberFormat="1" applyFont="1" applyFill="1" applyBorder="1" applyAlignment="1">
      <alignment/>
    </xf>
    <xf numFmtId="183" fontId="27" fillId="36" borderId="20" xfId="0" applyNumberFormat="1" applyFont="1" applyFill="1" applyBorder="1" applyAlignment="1">
      <alignment/>
    </xf>
    <xf numFmtId="10" fontId="27" fillId="36" borderId="21" xfId="0" applyNumberFormat="1" applyFont="1" applyFill="1" applyBorder="1" applyAlignment="1">
      <alignment/>
    </xf>
    <xf numFmtId="10" fontId="27" fillId="36" borderId="16" xfId="0" applyNumberFormat="1" applyFont="1" applyFill="1" applyBorder="1" applyAlignment="1">
      <alignment/>
    </xf>
    <xf numFmtId="0" fontId="29" fillId="35" borderId="0" xfId="0" applyFont="1" applyFill="1" applyAlignment="1">
      <alignment/>
    </xf>
    <xf numFmtId="0" fontId="29" fillId="35" borderId="0" xfId="0" applyFont="1" applyFill="1" applyAlignment="1">
      <alignment horizontal="left"/>
    </xf>
    <xf numFmtId="4" fontId="53" fillId="33" borderId="10" xfId="0" applyNumberFormat="1" applyFont="1" applyFill="1" applyBorder="1" applyAlignment="1">
      <alignment horizontal="right"/>
    </xf>
    <xf numFmtId="4" fontId="27" fillId="36" borderId="22" xfId="0" applyNumberFormat="1" applyFont="1" applyFill="1" applyBorder="1" applyAlignment="1">
      <alignment/>
    </xf>
    <xf numFmtId="4" fontId="27" fillId="36" borderId="19" xfId="0" applyNumberFormat="1" applyFont="1" applyFill="1" applyBorder="1" applyAlignment="1">
      <alignment/>
    </xf>
    <xf numFmtId="181" fontId="27" fillId="36" borderId="0" xfId="0" applyNumberFormat="1" applyFont="1" applyFill="1" applyBorder="1" applyAlignment="1">
      <alignment/>
    </xf>
    <xf numFmtId="181" fontId="27" fillId="36" borderId="18" xfId="0" applyNumberFormat="1" applyFont="1" applyFill="1" applyBorder="1" applyAlignment="1">
      <alignment/>
    </xf>
    <xf numFmtId="181" fontId="27" fillId="36" borderId="23" xfId="0" applyNumberFormat="1" applyFont="1" applyFill="1" applyBorder="1" applyAlignment="1">
      <alignment/>
    </xf>
    <xf numFmtId="181" fontId="27" fillId="36" borderId="20" xfId="0" applyNumberFormat="1" applyFont="1" applyFill="1" applyBorder="1" applyAlignment="1">
      <alignment/>
    </xf>
    <xf numFmtId="4" fontId="27" fillId="34" borderId="17" xfId="0" applyNumberFormat="1" applyFont="1" applyFill="1" applyBorder="1" applyAlignment="1">
      <alignment/>
    </xf>
    <xf numFmtId="4" fontId="27" fillId="34" borderId="13" xfId="0" applyNumberFormat="1" applyFont="1" applyFill="1" applyBorder="1" applyAlignment="1">
      <alignment/>
    </xf>
    <xf numFmtId="0" fontId="27" fillId="0" borderId="0" xfId="0" applyFont="1" applyAlignment="1">
      <alignment/>
    </xf>
    <xf numFmtId="0" fontId="30" fillId="0" borderId="0" xfId="53" applyFont="1" applyAlignment="1" applyProtection="1">
      <alignment/>
      <protection/>
    </xf>
    <xf numFmtId="0" fontId="31" fillId="0" borderId="0" xfId="0" applyFont="1" applyAlignment="1">
      <alignment/>
    </xf>
    <xf numFmtId="0" fontId="27" fillId="35" borderId="0" xfId="0" applyFont="1" applyFill="1" applyAlignment="1" quotePrefix="1">
      <alignment horizontal="right"/>
    </xf>
    <xf numFmtId="0" fontId="54" fillId="33" borderId="21" xfId="0" applyFont="1" applyFill="1" applyBorder="1" applyAlignment="1">
      <alignment horizontal="right"/>
    </xf>
    <xf numFmtId="0" fontId="53" fillId="33" borderId="15" xfId="0" applyFont="1" applyFill="1" applyBorder="1" applyAlignment="1">
      <alignment/>
    </xf>
    <xf numFmtId="0" fontId="53" fillId="33" borderId="16" xfId="0" applyFont="1" applyFill="1" applyBorder="1" applyAlignment="1">
      <alignment/>
    </xf>
    <xf numFmtId="0" fontId="53" fillId="33" borderId="10" xfId="0" applyFont="1" applyFill="1" applyBorder="1" applyAlignment="1">
      <alignment/>
    </xf>
    <xf numFmtId="0" fontId="53" fillId="33" borderId="22" xfId="0" applyFont="1" applyFill="1" applyBorder="1" applyAlignment="1">
      <alignment horizontal="right"/>
    </xf>
    <xf numFmtId="16" fontId="27" fillId="34" borderId="11" xfId="0" applyNumberFormat="1" applyFont="1" applyFill="1" applyBorder="1" applyAlignment="1">
      <alignment/>
    </xf>
    <xf numFmtId="16" fontId="27" fillId="34" borderId="0" xfId="0" applyNumberFormat="1" applyFont="1" applyFill="1" applyBorder="1" applyAlignment="1">
      <alignment/>
    </xf>
    <xf numFmtId="16" fontId="27" fillId="34" borderId="18" xfId="0" applyNumberFormat="1" applyFont="1" applyFill="1" applyBorder="1" applyAlignment="1">
      <alignment/>
    </xf>
    <xf numFmtId="0" fontId="27" fillId="35" borderId="18" xfId="0" applyFont="1" applyFill="1" applyBorder="1" applyAlignment="1">
      <alignment/>
    </xf>
    <xf numFmtId="0" fontId="53" fillId="33" borderId="11" xfId="0" applyFont="1" applyFill="1" applyBorder="1" applyAlignment="1">
      <alignment/>
    </xf>
    <xf numFmtId="0" fontId="53" fillId="33" borderId="0" xfId="0" applyFont="1" applyFill="1" applyBorder="1" applyAlignment="1">
      <alignment horizontal="right"/>
    </xf>
    <xf numFmtId="0" fontId="27" fillId="34" borderId="13" xfId="0" applyFont="1" applyFill="1" applyBorder="1" applyAlignment="1">
      <alignment horizontal="right"/>
    </xf>
    <xf numFmtId="0" fontId="27" fillId="34" borderId="11" xfId="0" applyFont="1" applyFill="1" applyBorder="1" applyAlignment="1">
      <alignment horizontal="right"/>
    </xf>
    <xf numFmtId="0" fontId="27" fillId="34" borderId="0" xfId="0" applyFont="1" applyFill="1" applyBorder="1" applyAlignment="1">
      <alignment horizontal="right"/>
    </xf>
    <xf numFmtId="0" fontId="27" fillId="34" borderId="18" xfId="0" applyFont="1" applyFill="1" applyBorder="1" applyAlignment="1">
      <alignment horizontal="right"/>
    </xf>
    <xf numFmtId="16" fontId="53" fillId="33" borderId="0" xfId="0" applyNumberFormat="1" applyFont="1" applyFill="1" applyBorder="1" applyAlignment="1">
      <alignment horizontal="right"/>
    </xf>
    <xf numFmtId="3" fontId="27" fillId="34" borderId="13" xfId="0" applyNumberFormat="1" applyFont="1" applyFill="1" applyBorder="1" applyAlignment="1">
      <alignment/>
    </xf>
    <xf numFmtId="1" fontId="27" fillId="34" borderId="0" xfId="0" applyNumberFormat="1" applyFont="1" applyFill="1" applyBorder="1" applyAlignment="1">
      <alignment horizontal="right"/>
    </xf>
    <xf numFmtId="4" fontId="27" fillId="34" borderId="12" xfId="0" applyNumberFormat="1" applyFont="1" applyFill="1" applyBorder="1" applyAlignment="1">
      <alignment/>
    </xf>
    <xf numFmtId="4" fontId="27" fillId="34" borderId="23" xfId="0" applyNumberFormat="1" applyFont="1" applyFill="1" applyBorder="1" applyAlignment="1">
      <alignment/>
    </xf>
    <xf numFmtId="4" fontId="27" fillId="34" borderId="20" xfId="0" applyNumberFormat="1" applyFont="1" applyFill="1" applyBorder="1" applyAlignment="1">
      <alignment/>
    </xf>
    <xf numFmtId="10" fontId="27" fillId="36" borderId="12" xfId="0" applyNumberFormat="1" applyFont="1" applyFill="1" applyBorder="1" applyAlignment="1">
      <alignment/>
    </xf>
    <xf numFmtId="10" fontId="27" fillId="36" borderId="23" xfId="0" applyNumberFormat="1" applyFont="1" applyFill="1" applyBorder="1" applyAlignment="1">
      <alignment/>
    </xf>
    <xf numFmtId="10" fontId="27" fillId="36" borderId="20" xfId="0" applyNumberFormat="1" applyFont="1" applyFill="1" applyBorder="1" applyAlignment="1">
      <alignment/>
    </xf>
    <xf numFmtId="0" fontId="53" fillId="33" borderId="12" xfId="0" applyFont="1" applyFill="1" applyBorder="1" applyAlignment="1">
      <alignment/>
    </xf>
    <xf numFmtId="0" fontId="53" fillId="33" borderId="23" xfId="0" applyFont="1" applyFill="1" applyBorder="1" applyAlignment="1">
      <alignment horizontal="right"/>
    </xf>
    <xf numFmtId="179" fontId="27" fillId="36" borderId="24" xfId="0" applyNumberFormat="1" applyFont="1" applyFill="1" applyBorder="1" applyAlignment="1">
      <alignment/>
    </xf>
    <xf numFmtId="10" fontId="27" fillId="34" borderId="12" xfId="0" applyNumberFormat="1" applyFont="1" applyFill="1" applyBorder="1" applyAlignment="1">
      <alignment horizontal="right"/>
    </xf>
    <xf numFmtId="10" fontId="27" fillId="34" borderId="23" xfId="0" applyNumberFormat="1" applyFont="1" applyFill="1" applyBorder="1" applyAlignment="1">
      <alignment horizontal="right"/>
    </xf>
    <xf numFmtId="10" fontId="27" fillId="34" borderId="20" xfId="0" applyNumberFormat="1" applyFont="1" applyFill="1" applyBorder="1" applyAlignment="1">
      <alignment horizontal="right"/>
    </xf>
    <xf numFmtId="4" fontId="27" fillId="36" borderId="10" xfId="0" applyNumberFormat="1" applyFont="1" applyFill="1" applyBorder="1" applyAlignment="1">
      <alignment/>
    </xf>
    <xf numFmtId="4" fontId="27" fillId="36" borderId="12" xfId="0" applyNumberFormat="1" applyFont="1" applyFill="1" applyBorder="1" applyAlignment="1">
      <alignment/>
    </xf>
    <xf numFmtId="4" fontId="27" fillId="36" borderId="23" xfId="0" applyNumberFormat="1" applyFont="1" applyFill="1" applyBorder="1" applyAlignment="1">
      <alignment/>
    </xf>
    <xf numFmtId="4" fontId="27" fillId="36" borderId="20" xfId="0" applyNumberFormat="1" applyFont="1" applyFill="1" applyBorder="1" applyAlignment="1">
      <alignment/>
    </xf>
    <xf numFmtId="4" fontId="27" fillId="35" borderId="16" xfId="0" applyNumberFormat="1" applyFont="1" applyFill="1" applyBorder="1" applyAlignment="1">
      <alignment/>
    </xf>
    <xf numFmtId="0" fontId="53" fillId="33" borderId="17" xfId="0" applyFont="1" applyFill="1" applyBorder="1" applyAlignment="1">
      <alignment horizontal="right"/>
    </xf>
    <xf numFmtId="4" fontId="27" fillId="36" borderId="11" xfId="0" applyNumberFormat="1" applyFont="1" applyFill="1" applyBorder="1" applyAlignment="1">
      <alignment/>
    </xf>
    <xf numFmtId="4" fontId="27" fillId="36" borderId="0" xfId="0" applyNumberFormat="1" applyFont="1" applyFill="1" applyBorder="1" applyAlignment="1">
      <alignment/>
    </xf>
    <xf numFmtId="4" fontId="27" fillId="36" borderId="18" xfId="0" applyNumberFormat="1" applyFont="1" applyFill="1" applyBorder="1" applyAlignment="1">
      <alignment/>
    </xf>
    <xf numFmtId="4" fontId="27" fillId="35" borderId="13" xfId="0" applyNumberFormat="1" applyFont="1" applyFill="1" applyBorder="1" applyAlignment="1">
      <alignment/>
    </xf>
    <xf numFmtId="4" fontId="27" fillId="35" borderId="14" xfId="0" applyNumberFormat="1" applyFont="1" applyFill="1" applyBorder="1" applyAlignment="1">
      <alignment/>
    </xf>
    <xf numFmtId="4" fontId="31" fillId="35" borderId="0" xfId="0" applyNumberFormat="1" applyFont="1" applyFill="1" applyAlignment="1">
      <alignment horizontal="left"/>
    </xf>
    <xf numFmtId="0" fontId="27" fillId="35" borderId="23" xfId="0" applyFont="1" applyFill="1" applyBorder="1" applyAlignment="1">
      <alignment horizontal="right"/>
    </xf>
    <xf numFmtId="4" fontId="27" fillId="35" borderId="23" xfId="0" applyNumberFormat="1" applyFont="1" applyFill="1" applyBorder="1" applyAlignment="1">
      <alignment/>
    </xf>
    <xf numFmtId="4" fontId="27" fillId="35" borderId="23" xfId="0" applyNumberFormat="1" applyFont="1" applyFill="1" applyBorder="1" applyAlignment="1">
      <alignment horizontal="left"/>
    </xf>
    <xf numFmtId="0" fontId="27" fillId="35" borderId="23" xfId="0" applyFont="1" applyFill="1" applyBorder="1" applyAlignment="1">
      <alignment/>
    </xf>
    <xf numFmtId="0" fontId="27" fillId="35" borderId="20" xfId="0" applyFont="1" applyFill="1" applyBorder="1" applyAlignment="1">
      <alignment horizontal="right"/>
    </xf>
    <xf numFmtId="181" fontId="27" fillId="35" borderId="23" xfId="0" applyNumberFormat="1" applyFont="1" applyFill="1" applyBorder="1" applyAlignment="1">
      <alignment/>
    </xf>
    <xf numFmtId="181" fontId="27" fillId="35" borderId="20" xfId="0" applyNumberFormat="1" applyFont="1" applyFill="1" applyBorder="1" applyAlignment="1">
      <alignment/>
    </xf>
    <xf numFmtId="0" fontId="27" fillId="35" borderId="18" xfId="0" applyFont="1" applyFill="1" applyBorder="1" applyAlignment="1">
      <alignment horizontal="right"/>
    </xf>
    <xf numFmtId="4" fontId="27" fillId="35" borderId="0" xfId="0" applyNumberFormat="1" applyFont="1" applyFill="1" applyBorder="1" applyAlignment="1">
      <alignment/>
    </xf>
    <xf numFmtId="4" fontId="27" fillId="35" borderId="18" xfId="0" applyNumberFormat="1" applyFont="1" applyFill="1" applyBorder="1" applyAlignment="1">
      <alignment/>
    </xf>
    <xf numFmtId="0" fontId="27" fillId="35" borderId="25" xfId="0" applyFont="1" applyFill="1" applyBorder="1" applyAlignment="1">
      <alignment horizontal="right"/>
    </xf>
    <xf numFmtId="181" fontId="27" fillId="35" borderId="26" xfId="0" applyNumberFormat="1" applyFont="1" applyFill="1" applyBorder="1" applyAlignment="1">
      <alignment/>
    </xf>
    <xf numFmtId="181" fontId="27" fillId="35" borderId="25" xfId="0" applyNumberFormat="1" applyFont="1" applyFill="1" applyBorder="1" applyAlignment="1">
      <alignment/>
    </xf>
    <xf numFmtId="4" fontId="27" fillId="35" borderId="23" xfId="0" applyNumberFormat="1" applyFont="1" applyFill="1" applyBorder="1" applyAlignment="1">
      <alignment horizontal="right"/>
    </xf>
    <xf numFmtId="4" fontId="27" fillId="35" borderId="20" xfId="0" applyNumberFormat="1" applyFont="1" applyFill="1" applyBorder="1" applyAlignment="1">
      <alignment/>
    </xf>
    <xf numFmtId="0" fontId="27" fillId="35" borderId="0" xfId="0" applyFont="1" applyFill="1" applyAlignment="1">
      <alignment horizontal="left"/>
    </xf>
    <xf numFmtId="0" fontId="53" fillId="33" borderId="19" xfId="0" applyFont="1" applyFill="1" applyBorder="1" applyAlignment="1">
      <alignment/>
    </xf>
    <xf numFmtId="0" fontId="27" fillId="35" borderId="17" xfId="0" applyFont="1" applyFill="1" applyBorder="1" applyAlignment="1">
      <alignment/>
    </xf>
    <xf numFmtId="0" fontId="27" fillId="35" borderId="13" xfId="0" applyFont="1" applyFill="1" applyBorder="1" applyAlignment="1">
      <alignment/>
    </xf>
    <xf numFmtId="4" fontId="27" fillId="34" borderId="14" xfId="0" applyNumberFormat="1" applyFont="1" applyFill="1" applyBorder="1" applyAlignment="1">
      <alignment/>
    </xf>
    <xf numFmtId="0" fontId="53" fillId="35" borderId="0" xfId="0" applyFont="1" applyFill="1" applyBorder="1" applyAlignment="1">
      <alignment/>
    </xf>
    <xf numFmtId="0" fontId="53" fillId="35" borderId="0" xfId="0" applyFont="1" applyFill="1" applyBorder="1" applyAlignment="1">
      <alignment horizontal="right"/>
    </xf>
    <xf numFmtId="10" fontId="27" fillId="35" borderId="0" xfId="0" applyNumberFormat="1" applyFont="1" applyFill="1" applyBorder="1" applyAlignment="1">
      <alignment/>
    </xf>
    <xf numFmtId="0" fontId="27" fillId="35" borderId="14" xfId="0" applyFont="1" applyFill="1" applyBorder="1" applyAlignment="1">
      <alignment/>
    </xf>
    <xf numFmtId="4" fontId="53" fillId="33" borderId="22" xfId="0" applyNumberFormat="1" applyFont="1" applyFill="1" applyBorder="1" applyAlignment="1">
      <alignment/>
    </xf>
    <xf numFmtId="4" fontId="53" fillId="33" borderId="19" xfId="0" applyNumberFormat="1" applyFont="1" applyFill="1" applyBorder="1" applyAlignment="1">
      <alignment/>
    </xf>
    <xf numFmtId="0" fontId="27" fillId="35" borderId="17" xfId="0" applyFont="1" applyFill="1" applyBorder="1" applyAlignment="1">
      <alignment horizontal="right"/>
    </xf>
    <xf numFmtId="0" fontId="27" fillId="35" borderId="0" xfId="0" applyFont="1" applyFill="1" applyBorder="1" applyAlignment="1">
      <alignment/>
    </xf>
    <xf numFmtId="0" fontId="27" fillId="35" borderId="13" xfId="0" applyFont="1" applyFill="1" applyBorder="1" applyAlignment="1">
      <alignment horizontal="right"/>
    </xf>
    <xf numFmtId="0" fontId="27" fillId="35" borderId="27" xfId="0" applyFont="1" applyFill="1" applyBorder="1" applyAlignment="1">
      <alignment horizontal="right"/>
    </xf>
    <xf numFmtId="0" fontId="27" fillId="35" borderId="26" xfId="0" applyFont="1" applyFill="1" applyBorder="1" applyAlignment="1">
      <alignment/>
    </xf>
    <xf numFmtId="0" fontId="27" fillId="35" borderId="25" xfId="0" applyFont="1" applyFill="1" applyBorder="1" applyAlignment="1">
      <alignment/>
    </xf>
    <xf numFmtId="0" fontId="53" fillId="33" borderId="15" xfId="0" applyFont="1" applyFill="1" applyBorder="1" applyAlignment="1">
      <alignment horizontal="right"/>
    </xf>
    <xf numFmtId="0" fontId="33" fillId="35" borderId="0" xfId="53"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CallsPuts!$B$26</c:f>
        </c:strRef>
      </c:tx>
      <c:layout>
        <c:manualLayout>
          <c:xMode val="factor"/>
          <c:yMode val="factor"/>
          <c:x val="-0.00125"/>
          <c:y val="-0.012"/>
        </c:manualLayout>
      </c:layout>
      <c:spPr>
        <a:noFill/>
        <a:ln>
          <a:noFill/>
        </a:ln>
      </c:spPr>
      <c:txPr>
        <a:bodyPr vert="horz" rot="0"/>
        <a:lstStyle/>
        <a:p>
          <a:pPr>
            <a:defRPr lang="en-US" cap="none" sz="1200" b="0" i="0" u="none" baseline="0">
              <a:solidFill>
                <a:srgbClr val="333333"/>
              </a:solidFill>
            </a:defRPr>
          </a:pPr>
        </a:p>
      </c:txPr>
    </c:title>
    <c:plotArea>
      <c:layout>
        <c:manualLayout>
          <c:xMode val="edge"/>
          <c:yMode val="edge"/>
          <c:x val="0.0075"/>
          <c:y val="0.08525"/>
          <c:w val="0.8145"/>
          <c:h val="0.914"/>
        </c:manualLayout>
      </c:layout>
      <c:lineChart>
        <c:grouping val="standard"/>
        <c:varyColors val="0"/>
        <c:ser>
          <c:idx val="0"/>
          <c:order val="0"/>
          <c:tx>
            <c:v>Payoff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CallsPuts!$C$24:$M$24</c:f>
              <c:numCache/>
            </c:numRef>
          </c:cat>
          <c:val>
            <c:numRef>
              <c:f>CallsPuts!$C$22:$M$22</c:f>
              <c:numCache/>
            </c:numRef>
          </c:val>
          <c:smooth val="0"/>
        </c:ser>
        <c:ser>
          <c:idx val="1"/>
          <c:order val="1"/>
          <c:tx>
            <c:v>Theoretical</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CallsPuts!$C$24:$M$24</c:f>
              <c:numCache/>
            </c:numRef>
          </c:cat>
          <c:val>
            <c:numRef>
              <c:f>CallsPuts!$C$23:$M$23</c:f>
              <c:numCache/>
            </c:numRef>
          </c:val>
          <c:smooth val="0"/>
        </c:ser>
        <c:marker val="1"/>
        <c:axId val="5918900"/>
        <c:axId val="53270101"/>
      </c:lineChart>
      <c:catAx>
        <c:axId val="591890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270101"/>
        <c:crosses val="autoZero"/>
        <c:auto val="1"/>
        <c:lblOffset val="100"/>
        <c:tickLblSkip val="1"/>
        <c:noMultiLvlLbl val="0"/>
      </c:catAx>
      <c:valAx>
        <c:axId val="53270101"/>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18900"/>
        <c:crossesAt val="1"/>
        <c:crossBetween val="between"/>
        <c:dispUnits/>
      </c:valAx>
      <c:spPr>
        <a:noFill/>
        <a:ln>
          <a:noFill/>
        </a:ln>
      </c:spPr>
    </c:plotArea>
    <c:legend>
      <c:legendPos val="r"/>
      <c:layout>
        <c:manualLayout>
          <c:xMode val="edge"/>
          <c:yMode val="edge"/>
          <c:x val="0.355"/>
          <c:y val="0.91875"/>
          <c:w val="0.27975"/>
          <c:h val="0.06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Payoff at Expiration</a:t>
            </a:r>
          </a:p>
        </c:rich>
      </c:tx>
      <c:layout>
        <c:manualLayout>
          <c:xMode val="factor"/>
          <c:yMode val="factor"/>
          <c:x val="-0.002"/>
          <c:y val="-0.0145"/>
        </c:manualLayout>
      </c:layout>
      <c:spPr>
        <a:noFill/>
        <a:ln>
          <a:noFill/>
        </a:ln>
      </c:spPr>
    </c:title>
    <c:plotArea>
      <c:layout>
        <c:manualLayout>
          <c:xMode val="edge"/>
          <c:yMode val="edge"/>
          <c:x val="0.004"/>
          <c:y val="0.08225"/>
          <c:w val="0.98325"/>
          <c:h val="0.91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PayoffGraphs!$B$27:$L$27</c:f>
              <c:numCache/>
            </c:numRef>
          </c:cat>
          <c:val>
            <c:numRef>
              <c:f>PayoffGraphs!$B$38:$L$38</c:f>
              <c:numCache/>
            </c:numRef>
          </c:val>
          <c:smooth val="0"/>
        </c:ser>
        <c:marker val="1"/>
        <c:axId val="9668862"/>
        <c:axId val="19910895"/>
      </c:lineChart>
      <c:catAx>
        <c:axId val="966886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910895"/>
        <c:crosses val="autoZero"/>
        <c:auto val="1"/>
        <c:lblOffset val="100"/>
        <c:tickLblSkip val="1"/>
        <c:noMultiLvlLbl val="0"/>
      </c:catAx>
      <c:valAx>
        <c:axId val="19910895"/>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66886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Strategies!$A$33</c:f>
        </c:strRef>
      </c:tx>
      <c:layout>
        <c:manualLayout>
          <c:xMode val="factor"/>
          <c:yMode val="factor"/>
          <c:x val="-0.002"/>
          <c:y val="-0.00925"/>
        </c:manualLayout>
      </c:layout>
      <c:spPr>
        <a:noFill/>
        <a:ln>
          <a:noFill/>
        </a:ln>
      </c:spPr>
      <c:txPr>
        <a:bodyPr vert="horz" rot="0"/>
        <a:lstStyle/>
        <a:p>
          <a:pPr>
            <a:defRPr lang="en-US" cap="none" sz="1000" b="0" i="0" u="none" baseline="0">
              <a:solidFill>
                <a:srgbClr val="333333"/>
              </a:solidFill>
            </a:defRPr>
          </a:pPr>
        </a:p>
      </c:txPr>
    </c:title>
    <c:plotArea>
      <c:layout>
        <c:manualLayout>
          <c:xMode val="edge"/>
          <c:yMode val="edge"/>
          <c:x val="0.00675"/>
          <c:y val="0.09775"/>
          <c:w val="0.96525"/>
          <c:h val="0.90125"/>
        </c:manualLayout>
      </c:layout>
      <c:lineChart>
        <c:grouping val="standard"/>
        <c:varyColors val="0"/>
        <c:ser>
          <c:idx val="0"/>
          <c:order val="0"/>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Strategies!$B$34:$L$34</c:f>
              <c:numCache/>
            </c:numRef>
          </c:cat>
          <c:val>
            <c:numRef>
              <c:f>Strategies!$B$45:$L$45</c:f>
              <c:numCache/>
            </c:numRef>
          </c:val>
          <c:smooth val="0"/>
        </c:ser>
        <c:marker val="1"/>
        <c:axId val="44980328"/>
        <c:axId val="2169769"/>
      </c:lineChart>
      <c:catAx>
        <c:axId val="44980328"/>
        <c:scaling>
          <c:orientation val="minMax"/>
        </c:scaling>
        <c:axPos val="b"/>
        <c:delete val="0"/>
        <c:numFmt formatCode="#,##0"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69769"/>
        <c:crosses val="autoZero"/>
        <c:auto val="1"/>
        <c:lblOffset val="100"/>
        <c:tickLblSkip val="1"/>
        <c:noMultiLvlLbl val="0"/>
      </c:catAx>
      <c:valAx>
        <c:axId val="2169769"/>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98032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Strategies!$A$47</c:f>
        </c:strRef>
      </c:tx>
      <c:layout>
        <c:manualLayout>
          <c:xMode val="factor"/>
          <c:yMode val="factor"/>
          <c:x val="-0.002"/>
          <c:y val="-0.00925"/>
        </c:manualLayout>
      </c:layout>
      <c:spPr>
        <a:noFill/>
        <a:ln>
          <a:noFill/>
        </a:ln>
      </c:spPr>
      <c:txPr>
        <a:bodyPr vert="horz" rot="0"/>
        <a:lstStyle/>
        <a:p>
          <a:pPr>
            <a:defRPr lang="en-US" cap="none" sz="1000" b="0" i="0" u="none" baseline="0">
              <a:solidFill>
                <a:srgbClr val="333333"/>
              </a:solidFill>
            </a:defRPr>
          </a:pPr>
        </a:p>
      </c:txPr>
    </c:title>
    <c:plotArea>
      <c:layout>
        <c:manualLayout>
          <c:xMode val="edge"/>
          <c:yMode val="edge"/>
          <c:x val="0.00675"/>
          <c:y val="0.09775"/>
          <c:w val="0.9655"/>
          <c:h val="0.90125"/>
        </c:manualLayout>
      </c:layout>
      <c:lineChart>
        <c:grouping val="standard"/>
        <c:varyColors val="0"/>
        <c:ser>
          <c:idx val="0"/>
          <c:order val="0"/>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Strategies!$B$48:$L$48</c:f>
              <c:numCache/>
            </c:numRef>
          </c:cat>
          <c:val>
            <c:numRef>
              <c:f>Strategies!$B$59:$L$59</c:f>
              <c:numCache/>
            </c:numRef>
          </c:val>
          <c:smooth val="1"/>
        </c:ser>
        <c:marker val="1"/>
        <c:axId val="19527922"/>
        <c:axId val="41533571"/>
      </c:lineChart>
      <c:catAx>
        <c:axId val="19527922"/>
        <c:scaling>
          <c:orientation val="minMax"/>
        </c:scaling>
        <c:axPos val="b"/>
        <c:delete val="0"/>
        <c:numFmt formatCode="#,##0"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533571"/>
        <c:crosses val="autoZero"/>
        <c:auto val="1"/>
        <c:lblOffset val="100"/>
        <c:tickLblSkip val="1"/>
        <c:noMultiLvlLbl val="0"/>
      </c:catAx>
      <c:valAx>
        <c:axId val="41533571"/>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52792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152400</xdr:rowOff>
    </xdr:from>
    <xdr:to>
      <xdr:col>13</xdr:col>
      <xdr:colOff>0</xdr:colOff>
      <xdr:row>19</xdr:row>
      <xdr:rowOff>57150</xdr:rowOff>
    </xdr:to>
    <xdr:graphicFrame>
      <xdr:nvGraphicFramePr>
        <xdr:cNvPr id="1" name="Chart 3"/>
        <xdr:cNvGraphicFramePr/>
      </xdr:nvGraphicFramePr>
      <xdr:xfrm>
        <a:off x="2847975" y="361950"/>
        <a:ext cx="6019800" cy="3095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19050</xdr:rowOff>
    </xdr:from>
    <xdr:to>
      <xdr:col>11</xdr:col>
      <xdr:colOff>581025</xdr:colOff>
      <xdr:row>25</xdr:row>
      <xdr:rowOff>38100</xdr:rowOff>
    </xdr:to>
    <xdr:graphicFrame>
      <xdr:nvGraphicFramePr>
        <xdr:cNvPr id="1" name="Chart 1"/>
        <xdr:cNvGraphicFramePr/>
      </xdr:nvGraphicFramePr>
      <xdr:xfrm>
        <a:off x="38100" y="1219200"/>
        <a:ext cx="7658100" cy="3143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16</xdr:row>
      <xdr:rowOff>85725</xdr:rowOff>
    </xdr:from>
    <xdr:to>
      <xdr:col>5</xdr:col>
      <xdr:colOff>314325</xdr:colOff>
      <xdr:row>29</xdr:row>
      <xdr:rowOff>85725</xdr:rowOff>
    </xdr:to>
    <xdr:graphicFrame>
      <xdr:nvGraphicFramePr>
        <xdr:cNvPr id="1" name="Chart 1"/>
        <xdr:cNvGraphicFramePr/>
      </xdr:nvGraphicFramePr>
      <xdr:xfrm>
        <a:off x="66675" y="3257550"/>
        <a:ext cx="3943350" cy="2495550"/>
      </xdr:xfrm>
      <a:graphic>
        <a:graphicData uri="http://schemas.openxmlformats.org/drawingml/2006/chart">
          <c:chart xmlns:c="http://schemas.openxmlformats.org/drawingml/2006/chart" r:id="rId1"/>
        </a:graphicData>
      </a:graphic>
    </xdr:graphicFrame>
    <xdr:clientData/>
  </xdr:twoCellAnchor>
  <xdr:twoCellAnchor>
    <xdr:from>
      <xdr:col>5</xdr:col>
      <xdr:colOff>371475</xdr:colOff>
      <xdr:row>16</xdr:row>
      <xdr:rowOff>85725</xdr:rowOff>
    </xdr:from>
    <xdr:to>
      <xdr:col>12</xdr:col>
      <xdr:colOff>9525</xdr:colOff>
      <xdr:row>29</xdr:row>
      <xdr:rowOff>85725</xdr:rowOff>
    </xdr:to>
    <xdr:graphicFrame>
      <xdr:nvGraphicFramePr>
        <xdr:cNvPr id="2" name="Chart 2"/>
        <xdr:cNvGraphicFramePr/>
      </xdr:nvGraphicFramePr>
      <xdr:xfrm>
        <a:off x="4067175" y="3257550"/>
        <a:ext cx="3971925" cy="24955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ptiontradingtips.com/contact.html" TargetMode="External" /><Relationship Id="rId2" Type="http://schemas.openxmlformats.org/officeDocument/2006/relationships/hyperlink" Target="https://www.optiontradingtips.com/subscribe.html" TargetMode="External" /><Relationship Id="rId3" Type="http://schemas.openxmlformats.org/officeDocument/2006/relationships/hyperlink" Target="http://www.optiontradingtips.com/pricing/workbook-support.html"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9"/>
  <dimension ref="A2:A60"/>
  <sheetViews>
    <sheetView showGridLines="0" zoomScalePageLayoutView="0" workbookViewId="0" topLeftCell="A1">
      <selection activeCell="A1" sqref="A1"/>
    </sheetView>
  </sheetViews>
  <sheetFormatPr defaultColWidth="9.140625" defaultRowHeight="12.75"/>
  <cols>
    <col min="1" max="16384" width="9.140625" style="39" customWidth="1"/>
  </cols>
  <sheetData>
    <row r="2" ht="15">
      <c r="A2" s="41" t="s">
        <v>94</v>
      </c>
    </row>
    <row r="3" ht="15">
      <c r="A3" s="39" t="s">
        <v>97</v>
      </c>
    </row>
    <row r="4" ht="15">
      <c r="A4" s="40" t="s">
        <v>117</v>
      </c>
    </row>
    <row r="6" ht="15">
      <c r="A6" s="41" t="s">
        <v>95</v>
      </c>
    </row>
    <row r="7" ht="15">
      <c r="A7" s="39" t="s">
        <v>96</v>
      </c>
    </row>
    <row r="8" ht="15">
      <c r="A8" s="40" t="s">
        <v>118</v>
      </c>
    </row>
    <row r="10" ht="15">
      <c r="A10" s="41" t="s">
        <v>98</v>
      </c>
    </row>
    <row r="11" ht="15">
      <c r="A11" s="39" t="s">
        <v>99</v>
      </c>
    </row>
    <row r="12" ht="15">
      <c r="A12" s="39" t="s">
        <v>100</v>
      </c>
    </row>
    <row r="14" ht="15">
      <c r="A14" s="41" t="s">
        <v>45</v>
      </c>
    </row>
    <row r="15" ht="15">
      <c r="A15" s="39" t="s">
        <v>64</v>
      </c>
    </row>
    <row r="16" ht="15">
      <c r="A16" s="39" t="s">
        <v>65</v>
      </c>
    </row>
    <row r="18" ht="15">
      <c r="A18" s="41" t="s">
        <v>46</v>
      </c>
    </row>
    <row r="19" ht="15">
      <c r="A19" s="39" t="s">
        <v>47</v>
      </c>
    </row>
    <row r="20" ht="15">
      <c r="A20" s="39" t="s">
        <v>48</v>
      </c>
    </row>
    <row r="21" ht="15">
      <c r="A21" s="39" t="s">
        <v>49</v>
      </c>
    </row>
    <row r="22" ht="15">
      <c r="A22" s="39" t="s">
        <v>50</v>
      </c>
    </row>
    <row r="23" ht="15">
      <c r="A23" s="39" t="s">
        <v>51</v>
      </c>
    </row>
    <row r="25" ht="15">
      <c r="A25" s="41" t="s">
        <v>52</v>
      </c>
    </row>
    <row r="26" ht="15">
      <c r="A26" s="39" t="s">
        <v>53</v>
      </c>
    </row>
    <row r="27" ht="15">
      <c r="A27" s="39" t="s">
        <v>54</v>
      </c>
    </row>
    <row r="28" ht="15">
      <c r="A28" s="39" t="s">
        <v>55</v>
      </c>
    </row>
    <row r="29" ht="15">
      <c r="A29" s="39" t="s">
        <v>56</v>
      </c>
    </row>
    <row r="31" ht="15">
      <c r="A31" s="39" t="s">
        <v>57</v>
      </c>
    </row>
    <row r="32" ht="15">
      <c r="A32" s="39" t="s">
        <v>58</v>
      </c>
    </row>
    <row r="33" ht="15">
      <c r="A33" s="39" t="s">
        <v>59</v>
      </c>
    </row>
    <row r="34" ht="15">
      <c r="A34" s="39" t="s">
        <v>60</v>
      </c>
    </row>
    <row r="35" ht="15">
      <c r="A35" s="39" t="s">
        <v>61</v>
      </c>
    </row>
    <row r="36" ht="15">
      <c r="A36" s="39" t="s">
        <v>62</v>
      </c>
    </row>
    <row r="37" ht="15">
      <c r="A37" s="39" t="s">
        <v>63</v>
      </c>
    </row>
    <row r="39" ht="15">
      <c r="A39" s="39" t="s">
        <v>101</v>
      </c>
    </row>
    <row r="40" ht="15">
      <c r="A40" s="40" t="s">
        <v>102</v>
      </c>
    </row>
    <row r="42" ht="15">
      <c r="A42" s="41" t="s">
        <v>37</v>
      </c>
    </row>
    <row r="43" ht="15">
      <c r="A43" s="39" t="s">
        <v>38</v>
      </c>
    </row>
    <row r="44" ht="15">
      <c r="A44" s="39" t="s">
        <v>104</v>
      </c>
    </row>
    <row r="45" ht="15">
      <c r="A45" s="39" t="s">
        <v>103</v>
      </c>
    </row>
    <row r="47" ht="15">
      <c r="A47" s="41" t="s">
        <v>105</v>
      </c>
    </row>
    <row r="48" ht="15">
      <c r="A48" s="39" t="s">
        <v>106</v>
      </c>
    </row>
    <row r="49" ht="15">
      <c r="A49" s="39" t="s">
        <v>107</v>
      </c>
    </row>
    <row r="50" ht="15">
      <c r="A50" s="39" t="s">
        <v>108</v>
      </c>
    </row>
    <row r="52" ht="15">
      <c r="A52" s="41" t="s">
        <v>39</v>
      </c>
    </row>
    <row r="53" ht="15">
      <c r="A53" s="39" t="s">
        <v>109</v>
      </c>
    </row>
    <row r="54" ht="15">
      <c r="A54" s="39" t="s">
        <v>110</v>
      </c>
    </row>
    <row r="55" ht="15">
      <c r="A55" s="39" t="s">
        <v>111</v>
      </c>
    </row>
    <row r="56" ht="15">
      <c r="A56" s="39" t="s">
        <v>40</v>
      </c>
    </row>
    <row r="57" ht="15">
      <c r="A57" s="39" t="s">
        <v>112</v>
      </c>
    </row>
    <row r="58" ht="15">
      <c r="A58" s="39" t="s">
        <v>113</v>
      </c>
    </row>
    <row r="59" ht="15">
      <c r="A59" s="39" t="s">
        <v>114</v>
      </c>
    </row>
    <row r="60" ht="15">
      <c r="A60" s="39" t="s">
        <v>115</v>
      </c>
    </row>
  </sheetData>
  <sheetProtection/>
  <hyperlinks>
    <hyperlink ref="A4" r:id="rId1" display="https://www.optiontradingtips.com/contact.html"/>
    <hyperlink ref="A8" r:id="rId2" display="https://www.optiontradingtips.com/subscribe.html"/>
    <hyperlink ref="A40" r:id="rId3" display="http://www.optiontradingtips.com/pricing/workbook-support.html"/>
  </hyperlinks>
  <printOptions/>
  <pageMargins left="0.75" right="0.75" top="1" bottom="1" header="0.5" footer="0.5"/>
  <pageSetup horizontalDpi="600" verticalDpi="600" orientation="portrait" r:id="rId4"/>
</worksheet>
</file>

<file path=xl/worksheets/sheet2.xml><?xml version="1.0" encoding="utf-8"?>
<worksheet xmlns="http://schemas.openxmlformats.org/spreadsheetml/2006/main" xmlns:r="http://schemas.openxmlformats.org/officeDocument/2006/relationships">
  <sheetPr codeName="Sheet5"/>
  <dimension ref="A1:G21"/>
  <sheetViews>
    <sheetView showGridLines="0" tabSelected="1" zoomScalePageLayoutView="0" workbookViewId="0" topLeftCell="A1">
      <selection activeCell="A1" sqref="A1"/>
    </sheetView>
  </sheetViews>
  <sheetFormatPr defaultColWidth="9.140625" defaultRowHeight="12.75"/>
  <cols>
    <col min="1" max="1" width="9.140625" style="17" customWidth="1"/>
    <col min="2" max="2" width="19.8515625" style="16" bestFit="1" customWidth="1"/>
    <col min="3" max="3" width="12.57421875" style="17" customWidth="1"/>
    <col min="4" max="4" width="14.8515625" style="17" customWidth="1"/>
    <col min="5" max="16384" width="9.140625" style="17" customWidth="1"/>
  </cols>
  <sheetData>
    <row r="1" ht="15">
      <c r="A1" s="118"/>
    </row>
    <row r="3" spans="2:4" ht="15">
      <c r="B3" s="1" t="s">
        <v>0</v>
      </c>
      <c r="C3" s="8">
        <v>150</v>
      </c>
      <c r="D3" s="18" t="s">
        <v>16</v>
      </c>
    </row>
    <row r="4" spans="2:4" ht="15">
      <c r="B4" s="2" t="s">
        <v>15</v>
      </c>
      <c r="C4" s="9">
        <v>149</v>
      </c>
      <c r="D4" s="18" t="s">
        <v>19</v>
      </c>
    </row>
    <row r="5" spans="2:4" ht="15">
      <c r="B5" s="2" t="s">
        <v>3</v>
      </c>
      <c r="C5" s="10">
        <f ca="1">TODAY()</f>
        <v>44217</v>
      </c>
      <c r="D5" s="18"/>
    </row>
    <row r="6" spans="2:4" ht="15">
      <c r="B6" s="2" t="s">
        <v>2</v>
      </c>
      <c r="C6" s="10">
        <f>C5+14</f>
        <v>44231</v>
      </c>
      <c r="D6" s="18" t="s">
        <v>17</v>
      </c>
    </row>
    <row r="7" spans="2:4" ht="15">
      <c r="B7" s="2" t="s">
        <v>8</v>
      </c>
      <c r="C7" s="11">
        <v>0.2286</v>
      </c>
      <c r="D7" s="18" t="s">
        <v>20</v>
      </c>
    </row>
    <row r="8" spans="2:4" ht="15">
      <c r="B8" s="2" t="s">
        <v>1</v>
      </c>
      <c r="C8" s="12">
        <v>0</v>
      </c>
      <c r="D8" s="18" t="s">
        <v>21</v>
      </c>
    </row>
    <row r="9" spans="2:4" ht="15">
      <c r="B9" s="3" t="s">
        <v>42</v>
      </c>
      <c r="C9" s="13">
        <v>0</v>
      </c>
      <c r="D9" s="18" t="s">
        <v>43</v>
      </c>
    </row>
    <row r="11" spans="2:4" ht="15">
      <c r="B11" s="1"/>
      <c r="C11" s="6" t="s">
        <v>12</v>
      </c>
      <c r="D11" s="7" t="s">
        <v>13</v>
      </c>
    </row>
    <row r="12" spans="2:7" ht="15">
      <c r="B12" s="2" t="s">
        <v>14</v>
      </c>
      <c r="C12" s="20">
        <f>OTW_BlackScholes("c","p",C3,C4,(C6-C5)/365,C8,C7,C9)</f>
        <v>3.199724163691968</v>
      </c>
      <c r="D12" s="21">
        <f>OTW_BlackScholes("p","p",C3,C4,(C6-C5)/365,C8,C7,C9)</f>
        <v>2.1997241636919824</v>
      </c>
      <c r="F12" s="19"/>
      <c r="G12" s="19"/>
    </row>
    <row r="13" spans="2:5" ht="15">
      <c r="B13" s="2" t="s">
        <v>4</v>
      </c>
      <c r="C13" s="22">
        <f>OTW_BlackScholes("c","d",C3,C4,(C6-C5)/365,C8,C7,C9)</f>
        <v>0.5681990229215714</v>
      </c>
      <c r="D13" s="23">
        <f>OTW_BlackScholes("p","d",C3,C4,(C6-C5)/365,C8,C7,C9)</f>
        <v>-0.43180097707842857</v>
      </c>
      <c r="E13" s="18" t="s">
        <v>22</v>
      </c>
    </row>
    <row r="14" spans="2:5" ht="15">
      <c r="B14" s="2" t="s">
        <v>5</v>
      </c>
      <c r="C14" s="22">
        <f>OTW_BlackScholes("c","g",C3,C4,(C6-C5)/365,C8,C7,C9)</f>
        <v>0.058535121529051284</v>
      </c>
      <c r="D14" s="23">
        <f>OTW_BlackScholes("p","g",C3,C4,(C6-C5)/365,C8,C7,C9)</f>
        <v>0.058535121529051284</v>
      </c>
      <c r="E14" s="18" t="s">
        <v>23</v>
      </c>
    </row>
    <row r="15" spans="2:5" ht="15">
      <c r="B15" s="2" t="s">
        <v>7</v>
      </c>
      <c r="C15" s="22">
        <f>OTW_BlackScholes("c","t",C3,C4,(C6-C5)/365,C8,C7,C9)</f>
        <v>-0.09428196696966679</v>
      </c>
      <c r="D15" s="23">
        <f>OTW_BlackScholes("p","t",C3,C4,(C6-C5)/365,C8,C7,C9)</f>
        <v>-0.09428196696966679</v>
      </c>
      <c r="E15" s="18" t="s">
        <v>24</v>
      </c>
    </row>
    <row r="16" spans="2:5" ht="15">
      <c r="B16" s="2" t="s">
        <v>6</v>
      </c>
      <c r="C16" s="22">
        <f>OTW_BlackScholes("c","v",C3,C4,(C6-C5)/365,C8,C7,C9)</f>
        <v>0.11548097441603983</v>
      </c>
      <c r="D16" s="23">
        <f>OTW_BlackScholes("p","v",C3,C4,(C6-C5)/365,C8,C7,C9)</f>
        <v>0.11548097441603983</v>
      </c>
      <c r="E16" s="18" t="s">
        <v>25</v>
      </c>
    </row>
    <row r="17" spans="2:5" ht="15">
      <c r="B17" s="3" t="s">
        <v>18</v>
      </c>
      <c r="C17" s="24">
        <f>OTW_BlackScholes("c","r",C3,C4,(C6-C5)/365,C8,C7,C9)</f>
        <v>0.03146361122859212</v>
      </c>
      <c r="D17" s="25">
        <f>OTW_BlackScholes("p","r",C3,C4,(C6-C5)/365,C8,C7,C9)</f>
        <v>-0.02568707370291473</v>
      </c>
      <c r="E17" s="18" t="s">
        <v>26</v>
      </c>
    </row>
    <row r="19" spans="2:4" ht="15">
      <c r="B19" s="1"/>
      <c r="C19" s="6" t="s">
        <v>12</v>
      </c>
      <c r="D19" s="7" t="s">
        <v>13</v>
      </c>
    </row>
    <row r="20" spans="2:4" ht="15">
      <c r="B20" s="4" t="s">
        <v>67</v>
      </c>
      <c r="C20" s="14">
        <v>3.2</v>
      </c>
      <c r="D20" s="15">
        <v>1.2</v>
      </c>
    </row>
    <row r="21" spans="2:5" ht="15">
      <c r="B21" s="5" t="s">
        <v>68</v>
      </c>
      <c r="C21" s="26">
        <f>OTW_IV("c",C3,C4,(C6-C5)/365,C8,C20,C9)</f>
        <v>0.22861480712890625</v>
      </c>
      <c r="D21" s="27">
        <f>OTW_IV("p",C3,C4,(C6-C5)/365,C8,D20,C9)</f>
        <v>0.14141082763671875</v>
      </c>
      <c r="E21" s="18" t="s">
        <v>84</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dimension ref="A3:M35"/>
  <sheetViews>
    <sheetView showGridLines="0" zoomScalePageLayoutView="0" workbookViewId="0" topLeftCell="A1">
      <selection activeCell="A1" sqref="A1"/>
    </sheetView>
  </sheetViews>
  <sheetFormatPr defaultColWidth="9.140625" defaultRowHeight="12.75"/>
  <cols>
    <col min="1" max="1" width="9.140625" style="28" customWidth="1"/>
    <col min="2" max="2" width="19.00390625" style="28" bestFit="1" customWidth="1"/>
    <col min="3" max="3" width="13.421875" style="28" customWidth="1"/>
    <col min="4" max="16384" width="9.140625" style="28" customWidth="1"/>
  </cols>
  <sheetData>
    <row r="3" spans="2:3" ht="15">
      <c r="B3" s="1" t="s">
        <v>0</v>
      </c>
      <c r="C3" s="37">
        <v>25</v>
      </c>
    </row>
    <row r="4" spans="2:3" ht="15">
      <c r="B4" s="2" t="s">
        <v>15</v>
      </c>
      <c r="C4" s="38">
        <v>25</v>
      </c>
    </row>
    <row r="5" spans="2:3" ht="15">
      <c r="B5" s="2" t="s">
        <v>3</v>
      </c>
      <c r="C5" s="10">
        <f ca="1">TODAY()</f>
        <v>44217</v>
      </c>
    </row>
    <row r="6" spans="2:3" ht="15">
      <c r="B6" s="2" t="s">
        <v>2</v>
      </c>
      <c r="C6" s="10">
        <f>C5+30</f>
        <v>44247</v>
      </c>
    </row>
    <row r="7" spans="2:3" ht="15">
      <c r="B7" s="2" t="s">
        <v>8</v>
      </c>
      <c r="C7" s="11">
        <v>0.25</v>
      </c>
    </row>
    <row r="8" spans="2:3" ht="15">
      <c r="B8" s="2" t="s">
        <v>1</v>
      </c>
      <c r="C8" s="12">
        <v>0.005</v>
      </c>
    </row>
    <row r="9" spans="2:3" ht="15">
      <c r="B9" s="3" t="s">
        <v>42</v>
      </c>
      <c r="C9" s="13">
        <v>0</v>
      </c>
    </row>
    <row r="10" ht="15"/>
    <row r="11" ht="15"/>
    <row r="22" spans="2:13" ht="15">
      <c r="B22" s="30" t="s">
        <v>93</v>
      </c>
      <c r="C22" s="31">
        <f aca="true" t="shared" si="0" ref="C22:M22">IF($D$27="c",(MAX(C24-$C$4,0)-$C$28)*$C$27*100,(MAX($C$4-C24,0)-$C$28)*$C$27*100)</f>
        <v>-71.96803571935781</v>
      </c>
      <c r="D22" s="31">
        <f t="shared" si="0"/>
        <v>-71.96803571935781</v>
      </c>
      <c r="E22" s="31">
        <f t="shared" si="0"/>
        <v>-71.96803571935781</v>
      </c>
      <c r="F22" s="31">
        <f t="shared" si="0"/>
        <v>-71.96803571935781</v>
      </c>
      <c r="G22" s="31">
        <f t="shared" si="0"/>
        <v>-71.96803571935781</v>
      </c>
      <c r="H22" s="31">
        <f t="shared" si="0"/>
        <v>-71.96803571935781</v>
      </c>
      <c r="I22" s="31">
        <f t="shared" si="0"/>
        <v>-46.968035719357815</v>
      </c>
      <c r="J22" s="31">
        <f t="shared" si="0"/>
        <v>-21.718035719357687</v>
      </c>
      <c r="K22" s="31">
        <f t="shared" si="0"/>
        <v>3.784464280642297</v>
      </c>
      <c r="L22" s="31">
        <f t="shared" si="0"/>
        <v>29.541989280642156</v>
      </c>
      <c r="M22" s="32">
        <f t="shared" si="0"/>
        <v>55.557089530642045</v>
      </c>
    </row>
    <row r="23" spans="2:13" ht="15">
      <c r="B23" s="2" t="s">
        <v>9</v>
      </c>
      <c r="C23" s="33">
        <f aca="true" t="shared" si="1" ref="C23:M23">(OTW_BlackScholes($D$27,"p",C24,$C$4,($C$6-$C$5)/365,+$C$8,$C$7,$C$9)-$C$28)*$C$27*100</f>
        <v>-46.820776921769</v>
      </c>
      <c r="D23" s="33">
        <f t="shared" si="1"/>
        <v>-40.14504150738256</v>
      </c>
      <c r="E23" s="33">
        <f t="shared" si="1"/>
        <v>-32.21740598239009</v>
      </c>
      <c r="F23" s="33">
        <f t="shared" si="1"/>
        <v>-22.935754128240937</v>
      </c>
      <c r="G23" s="33">
        <f t="shared" si="1"/>
        <v>-12.216772215404959</v>
      </c>
      <c r="H23" s="33">
        <f t="shared" si="1"/>
        <v>0</v>
      </c>
      <c r="I23" s="33">
        <f t="shared" si="1"/>
        <v>13.604906720028609</v>
      </c>
      <c r="J23" s="33">
        <f t="shared" si="1"/>
        <v>28.719603214913825</v>
      </c>
      <c r="K23" s="33">
        <f t="shared" si="1"/>
        <v>45.32575698180423</v>
      </c>
      <c r="L23" s="33">
        <f t="shared" si="1"/>
        <v>63.380782123497426</v>
      </c>
      <c r="M23" s="34">
        <f t="shared" si="1"/>
        <v>82.82077080386365</v>
      </c>
    </row>
    <row r="24" spans="2:13" ht="15">
      <c r="B24" s="3" t="s">
        <v>90</v>
      </c>
      <c r="C24" s="35">
        <f>D24*0.99</f>
        <v>23.7747512475</v>
      </c>
      <c r="D24" s="35">
        <f>E24*0.99</f>
        <v>24.01490025</v>
      </c>
      <c r="E24" s="35">
        <f>F24*0.99</f>
        <v>24.257475</v>
      </c>
      <c r="F24" s="35">
        <f>G24*0.99</f>
        <v>24.5025</v>
      </c>
      <c r="G24" s="35">
        <f>H24*0.99</f>
        <v>24.75</v>
      </c>
      <c r="H24" s="35">
        <f>C3</f>
        <v>25</v>
      </c>
      <c r="I24" s="35">
        <f>H24*1.01</f>
        <v>25.25</v>
      </c>
      <c r="J24" s="35">
        <f>I24*1.01</f>
        <v>25.5025</v>
      </c>
      <c r="K24" s="35">
        <f>J24*1.01</f>
        <v>25.757525</v>
      </c>
      <c r="L24" s="35">
        <f>K24*1.01</f>
        <v>26.01510025</v>
      </c>
      <c r="M24" s="36">
        <f>L24*1.01</f>
        <v>26.2752512525</v>
      </c>
    </row>
    <row r="26" spans="1:2" ht="14.25" hidden="1">
      <c r="A26" s="29">
        <v>1</v>
      </c>
      <c r="B26" s="28" t="str">
        <f>VLOOKUP(A26,$A$27:$B$30,2,FALSE)</f>
        <v>Long Call</v>
      </c>
    </row>
    <row r="27" spans="1:4" ht="14.25" hidden="1">
      <c r="A27" s="28">
        <v>1</v>
      </c>
      <c r="B27" s="28" t="s">
        <v>86</v>
      </c>
      <c r="C27" s="28">
        <f>VLOOKUP($A$26,$B$32:$D$35,2,FALSE)</f>
        <v>1</v>
      </c>
      <c r="D27" s="28" t="str">
        <f>VLOOKUP(A26,B32:D35,3,FALSE)</f>
        <v>c</v>
      </c>
    </row>
    <row r="28" spans="1:3" ht="14.25" hidden="1">
      <c r="A28" s="28">
        <v>2</v>
      </c>
      <c r="B28" s="28" t="s">
        <v>87</v>
      </c>
      <c r="C28" s="28">
        <f>OTW_BlackScholes(D27,"p",$C$3,$C$4,($C$6-$C$5)/365,$C$8,$C$7,$C$9)</f>
        <v>0.7196803571935781</v>
      </c>
    </row>
    <row r="29" spans="1:2" ht="14.25" hidden="1">
      <c r="A29" s="28">
        <v>3</v>
      </c>
      <c r="B29" s="28" t="s">
        <v>88</v>
      </c>
    </row>
    <row r="30" spans="1:2" ht="14.25" hidden="1">
      <c r="A30" s="28">
        <v>4</v>
      </c>
      <c r="B30" s="28" t="s">
        <v>89</v>
      </c>
    </row>
    <row r="31" ht="14.25" hidden="1"/>
    <row r="32" spans="2:4" ht="14.25" hidden="1">
      <c r="B32" s="28">
        <v>1</v>
      </c>
      <c r="C32" s="28">
        <v>1</v>
      </c>
      <c r="D32" s="28" t="s">
        <v>91</v>
      </c>
    </row>
    <row r="33" spans="2:4" ht="14.25" hidden="1">
      <c r="B33" s="28">
        <v>2</v>
      </c>
      <c r="C33" s="28">
        <v>-1</v>
      </c>
      <c r="D33" s="28" t="s">
        <v>91</v>
      </c>
    </row>
    <row r="34" spans="2:4" ht="14.25" hidden="1">
      <c r="B34" s="28">
        <v>3</v>
      </c>
      <c r="C34" s="28">
        <v>1</v>
      </c>
      <c r="D34" s="28" t="s">
        <v>92</v>
      </c>
    </row>
    <row r="35" spans="2:4" ht="14.25" hidden="1">
      <c r="B35" s="28">
        <v>4</v>
      </c>
      <c r="C35" s="28">
        <v>-1</v>
      </c>
      <c r="D35" s="28" t="s">
        <v>92</v>
      </c>
    </row>
  </sheetData>
  <sheetProtection/>
  <printOptions/>
  <pageMargins left="0.7" right="0.7" top="0.75" bottom="0.75" header="0.3" footer="0.3"/>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A2:P38"/>
  <sheetViews>
    <sheetView showGridLines="0" zoomScale="85" zoomScaleNormal="85" zoomScalePageLayoutView="0" workbookViewId="0" topLeftCell="A1">
      <selection activeCell="A1" sqref="A1"/>
    </sheetView>
  </sheetViews>
  <sheetFormatPr defaultColWidth="9.140625" defaultRowHeight="12.75"/>
  <cols>
    <col min="1" max="1" width="18.140625" style="17" customWidth="1"/>
    <col min="2" max="16384" width="8.8515625" style="17" customWidth="1"/>
  </cols>
  <sheetData>
    <row r="1" ht="15.75"/>
    <row r="2" spans="1:16" ht="15.75">
      <c r="A2" s="43"/>
      <c r="B2" s="117" t="s">
        <v>74</v>
      </c>
      <c r="C2" s="117" t="s">
        <v>75</v>
      </c>
      <c r="D2" s="117" t="s">
        <v>76</v>
      </c>
      <c r="E2" s="117" t="s">
        <v>77</v>
      </c>
      <c r="F2" s="117" t="s">
        <v>78</v>
      </c>
      <c r="G2" s="117" t="s">
        <v>79</v>
      </c>
      <c r="H2" s="117" t="s">
        <v>80</v>
      </c>
      <c r="I2" s="117" t="s">
        <v>81</v>
      </c>
      <c r="J2" s="117" t="s">
        <v>82</v>
      </c>
      <c r="K2" s="117" t="s">
        <v>83</v>
      </c>
      <c r="L2" s="101" t="s">
        <v>27</v>
      </c>
      <c r="N2" s="46"/>
      <c r="O2" s="47" t="s">
        <v>116</v>
      </c>
      <c r="P2" s="37">
        <v>51.5</v>
      </c>
    </row>
    <row r="3" spans="1:16" ht="15.75">
      <c r="A3" s="2" t="s">
        <v>11</v>
      </c>
      <c r="B3" s="55">
        <v>-1</v>
      </c>
      <c r="C3" s="56">
        <v>1</v>
      </c>
      <c r="D3" s="56"/>
      <c r="E3" s="56"/>
      <c r="F3" s="56"/>
      <c r="G3" s="56"/>
      <c r="H3" s="56"/>
      <c r="I3" s="56"/>
      <c r="J3" s="56"/>
      <c r="K3" s="56"/>
      <c r="L3" s="102"/>
      <c r="N3" s="52"/>
      <c r="O3" s="58" t="s">
        <v>70</v>
      </c>
      <c r="P3" s="59">
        <v>100</v>
      </c>
    </row>
    <row r="4" spans="1:16" ht="15.75">
      <c r="A4" s="53" t="s">
        <v>10</v>
      </c>
      <c r="B4" s="55" t="s">
        <v>41</v>
      </c>
      <c r="C4" s="56" t="s">
        <v>41</v>
      </c>
      <c r="D4" s="56"/>
      <c r="E4" s="56"/>
      <c r="F4" s="56"/>
      <c r="G4" s="56"/>
      <c r="H4" s="56"/>
      <c r="I4" s="56"/>
      <c r="J4" s="56"/>
      <c r="K4" s="56"/>
      <c r="L4" s="103"/>
      <c r="N4" s="67"/>
      <c r="O4" s="68" t="s">
        <v>31</v>
      </c>
      <c r="P4" s="104">
        <v>0.5</v>
      </c>
    </row>
    <row r="5" spans="1:16" ht="15.75">
      <c r="A5" s="2" t="s">
        <v>28</v>
      </c>
      <c r="B5" s="55">
        <v>51</v>
      </c>
      <c r="C5" s="56">
        <v>52</v>
      </c>
      <c r="D5" s="60"/>
      <c r="E5" s="56"/>
      <c r="F5" s="56"/>
      <c r="G5" s="56"/>
      <c r="H5" s="56"/>
      <c r="I5" s="56"/>
      <c r="J5" s="56"/>
      <c r="K5" s="56"/>
      <c r="L5" s="103"/>
      <c r="N5" s="105"/>
      <c r="O5" s="106"/>
      <c r="P5" s="107"/>
    </row>
    <row r="6" spans="1:16" ht="15.75">
      <c r="A6" s="4" t="s">
        <v>67</v>
      </c>
      <c r="B6" s="61">
        <v>2.3</v>
      </c>
      <c r="C6" s="62">
        <v>1.9</v>
      </c>
      <c r="D6" s="62"/>
      <c r="E6" s="62"/>
      <c r="F6" s="62"/>
      <c r="G6" s="62"/>
      <c r="H6" s="62"/>
      <c r="I6" s="62"/>
      <c r="J6" s="62"/>
      <c r="K6" s="62"/>
      <c r="L6" s="108">
        <f>SUMPRODUCT(B6:K6,B3:K3)*P3</f>
        <v>-39.99999999999999</v>
      </c>
      <c r="N6" s="105"/>
      <c r="O6" s="106"/>
      <c r="P6" s="107"/>
    </row>
    <row r="7" spans="14:16" ht="15.75">
      <c r="N7" s="105"/>
      <c r="O7" s="106"/>
      <c r="P7" s="93"/>
    </row>
    <row r="27" spans="1:12" ht="15">
      <c r="A27" s="1" t="s">
        <v>90</v>
      </c>
      <c r="B27" s="109">
        <f>C27-$P$4</f>
        <v>49</v>
      </c>
      <c r="C27" s="109">
        <f>D27-$P$4</f>
        <v>49.5</v>
      </c>
      <c r="D27" s="109">
        <f>E27-$P$4</f>
        <v>50</v>
      </c>
      <c r="E27" s="109">
        <f>F27-$P$4</f>
        <v>50.5</v>
      </c>
      <c r="F27" s="109">
        <f>G27-$P$4</f>
        <v>51</v>
      </c>
      <c r="G27" s="109">
        <f>P2</f>
        <v>51.5</v>
      </c>
      <c r="H27" s="109">
        <f>G27+$P$4</f>
        <v>52</v>
      </c>
      <c r="I27" s="109">
        <f>H27+$P$4</f>
        <v>52.5</v>
      </c>
      <c r="J27" s="109">
        <f>I27+$P$4</f>
        <v>53</v>
      </c>
      <c r="K27" s="109">
        <f>J27+$P$4</f>
        <v>53.5</v>
      </c>
      <c r="L27" s="110">
        <f>K27+$P$4</f>
        <v>54</v>
      </c>
    </row>
    <row r="28" spans="1:12" ht="15">
      <c r="A28" s="111" t="str">
        <f>OTW_PrintLeg(B4,B3,B5)</f>
        <v>Short 51 Call</v>
      </c>
      <c r="B28" s="112">
        <f aca="true" t="shared" si="0" ref="B28:L28">OTW_Payoff($B4,$B3,$B5,$B6,$P$3,B27)</f>
        <v>229.99999999999997</v>
      </c>
      <c r="C28" s="112">
        <f t="shared" si="0"/>
        <v>229.99999999999997</v>
      </c>
      <c r="D28" s="112">
        <f t="shared" si="0"/>
        <v>229.99999999999997</v>
      </c>
      <c r="E28" s="112">
        <f t="shared" si="0"/>
        <v>229.99999999999997</v>
      </c>
      <c r="F28" s="112">
        <f t="shared" si="0"/>
        <v>229.99999999999997</v>
      </c>
      <c r="G28" s="112">
        <f t="shared" si="0"/>
        <v>179.99999999999997</v>
      </c>
      <c r="H28" s="112">
        <f t="shared" si="0"/>
        <v>129.99999999999997</v>
      </c>
      <c r="I28" s="112">
        <f t="shared" si="0"/>
        <v>79.99999999999999</v>
      </c>
      <c r="J28" s="112">
        <f t="shared" si="0"/>
        <v>29.999999999999982</v>
      </c>
      <c r="K28" s="112">
        <f t="shared" si="0"/>
        <v>-20.000000000000018</v>
      </c>
      <c r="L28" s="51">
        <f t="shared" si="0"/>
        <v>-70.00000000000001</v>
      </c>
    </row>
    <row r="29" spans="1:12" ht="15">
      <c r="A29" s="113" t="str">
        <f>OTW_PrintLeg(C4,C3,C5)</f>
        <v>Long 52 Call</v>
      </c>
      <c r="B29" s="112">
        <f aca="true" t="shared" si="1" ref="B29:L29">OTW_Payoff($C4,$C3,$C5,$C6,$P$3,B27)</f>
        <v>-190</v>
      </c>
      <c r="C29" s="112">
        <f t="shared" si="1"/>
        <v>-190</v>
      </c>
      <c r="D29" s="112">
        <f t="shared" si="1"/>
        <v>-190</v>
      </c>
      <c r="E29" s="112">
        <f t="shared" si="1"/>
        <v>-190</v>
      </c>
      <c r="F29" s="112">
        <f t="shared" si="1"/>
        <v>-190</v>
      </c>
      <c r="G29" s="112">
        <f t="shared" si="1"/>
        <v>-190</v>
      </c>
      <c r="H29" s="112">
        <f t="shared" si="1"/>
        <v>-190</v>
      </c>
      <c r="I29" s="112">
        <f t="shared" si="1"/>
        <v>-140</v>
      </c>
      <c r="J29" s="112">
        <f t="shared" si="1"/>
        <v>-89.99999999999999</v>
      </c>
      <c r="K29" s="112">
        <f t="shared" si="1"/>
        <v>-39.99999999999999</v>
      </c>
      <c r="L29" s="51">
        <f t="shared" si="1"/>
        <v>10.000000000000009</v>
      </c>
    </row>
    <row r="30" spans="1:12" ht="15">
      <c r="A30" s="113">
        <f>OTW_PrintLeg(D4,D3,D5)</f>
        <v>0</v>
      </c>
      <c r="B30" s="112">
        <f aca="true" t="shared" si="2" ref="B30:L30">OTW_Payoff($D4,$D3,$D5,$D6,$P$3,B27)</f>
        <v>0</v>
      </c>
      <c r="C30" s="112">
        <f t="shared" si="2"/>
        <v>0</v>
      </c>
      <c r="D30" s="112">
        <f t="shared" si="2"/>
        <v>0</v>
      </c>
      <c r="E30" s="112">
        <f t="shared" si="2"/>
        <v>0</v>
      </c>
      <c r="F30" s="112">
        <f t="shared" si="2"/>
        <v>0</v>
      </c>
      <c r="G30" s="112">
        <f t="shared" si="2"/>
        <v>0</v>
      </c>
      <c r="H30" s="112">
        <f t="shared" si="2"/>
        <v>0</v>
      </c>
      <c r="I30" s="112">
        <f t="shared" si="2"/>
        <v>0</v>
      </c>
      <c r="J30" s="112">
        <f t="shared" si="2"/>
        <v>0</v>
      </c>
      <c r="K30" s="112">
        <f t="shared" si="2"/>
        <v>0</v>
      </c>
      <c r="L30" s="51">
        <f t="shared" si="2"/>
        <v>0</v>
      </c>
    </row>
    <row r="31" spans="1:12" ht="15">
      <c r="A31" s="113">
        <f>OTW_PrintLeg(E4,E3,E5)</f>
        <v>0</v>
      </c>
      <c r="B31" s="112">
        <f aca="true" t="shared" si="3" ref="B31:L31">OTW_Payoff($E4,$E3,$E5,$E6,$P$3,B27)</f>
        <v>0</v>
      </c>
      <c r="C31" s="112">
        <f t="shared" si="3"/>
        <v>0</v>
      </c>
      <c r="D31" s="112">
        <f t="shared" si="3"/>
        <v>0</v>
      </c>
      <c r="E31" s="112">
        <f t="shared" si="3"/>
        <v>0</v>
      </c>
      <c r="F31" s="112">
        <f t="shared" si="3"/>
        <v>0</v>
      </c>
      <c r="G31" s="112">
        <f t="shared" si="3"/>
        <v>0</v>
      </c>
      <c r="H31" s="112">
        <f t="shared" si="3"/>
        <v>0</v>
      </c>
      <c r="I31" s="112">
        <f t="shared" si="3"/>
        <v>0</v>
      </c>
      <c r="J31" s="112">
        <f t="shared" si="3"/>
        <v>0</v>
      </c>
      <c r="K31" s="112">
        <f t="shared" si="3"/>
        <v>0</v>
      </c>
      <c r="L31" s="51">
        <f t="shared" si="3"/>
        <v>0</v>
      </c>
    </row>
    <row r="32" spans="1:12" ht="15">
      <c r="A32" s="113">
        <f>OTW_PrintLeg(F4,F3,F5)</f>
        <v>0</v>
      </c>
      <c r="B32" s="112">
        <f aca="true" t="shared" si="4" ref="B32:L32">OTW_Payoff($F4,$F3,$F5,$F6,$P$3,B27)</f>
        <v>0</v>
      </c>
      <c r="C32" s="112">
        <f t="shared" si="4"/>
        <v>0</v>
      </c>
      <c r="D32" s="112">
        <f t="shared" si="4"/>
        <v>0</v>
      </c>
      <c r="E32" s="112">
        <f t="shared" si="4"/>
        <v>0</v>
      </c>
      <c r="F32" s="112">
        <f t="shared" si="4"/>
        <v>0</v>
      </c>
      <c r="G32" s="112">
        <f t="shared" si="4"/>
        <v>0</v>
      </c>
      <c r="H32" s="112">
        <f t="shared" si="4"/>
        <v>0</v>
      </c>
      <c r="I32" s="112">
        <f t="shared" si="4"/>
        <v>0</v>
      </c>
      <c r="J32" s="112">
        <f t="shared" si="4"/>
        <v>0</v>
      </c>
      <c r="K32" s="112">
        <f t="shared" si="4"/>
        <v>0</v>
      </c>
      <c r="L32" s="51">
        <f t="shared" si="4"/>
        <v>0</v>
      </c>
    </row>
    <row r="33" spans="1:12" ht="15">
      <c r="A33" s="113">
        <f>OTW_PrintLeg(G4,G3,G5)</f>
        <v>0</v>
      </c>
      <c r="B33" s="112">
        <f aca="true" t="shared" si="5" ref="B33:L33">OTW_Payoff($G4,$G3,$G5,$G6,$P$3,B27)</f>
        <v>0</v>
      </c>
      <c r="C33" s="112">
        <f t="shared" si="5"/>
        <v>0</v>
      </c>
      <c r="D33" s="112">
        <f t="shared" si="5"/>
        <v>0</v>
      </c>
      <c r="E33" s="112">
        <f t="shared" si="5"/>
        <v>0</v>
      </c>
      <c r="F33" s="112">
        <f t="shared" si="5"/>
        <v>0</v>
      </c>
      <c r="G33" s="112">
        <f t="shared" si="5"/>
        <v>0</v>
      </c>
      <c r="H33" s="112">
        <f t="shared" si="5"/>
        <v>0</v>
      </c>
      <c r="I33" s="112">
        <f t="shared" si="5"/>
        <v>0</v>
      </c>
      <c r="J33" s="112">
        <f t="shared" si="5"/>
        <v>0</v>
      </c>
      <c r="K33" s="112">
        <f t="shared" si="5"/>
        <v>0</v>
      </c>
      <c r="L33" s="51">
        <f t="shared" si="5"/>
        <v>0</v>
      </c>
    </row>
    <row r="34" spans="1:12" ht="15">
      <c r="A34" s="113">
        <f>OTW_PrintLeg(H4,H3,H5)</f>
        <v>0</v>
      </c>
      <c r="B34" s="112">
        <f aca="true" t="shared" si="6" ref="B34:L34">OTW_Payoff($H4,$H3,$H5,$H6,$P$3,B27)</f>
        <v>0</v>
      </c>
      <c r="C34" s="112">
        <f t="shared" si="6"/>
        <v>0</v>
      </c>
      <c r="D34" s="112">
        <f t="shared" si="6"/>
        <v>0</v>
      </c>
      <c r="E34" s="112">
        <f t="shared" si="6"/>
        <v>0</v>
      </c>
      <c r="F34" s="112">
        <f t="shared" si="6"/>
        <v>0</v>
      </c>
      <c r="G34" s="112">
        <f t="shared" si="6"/>
        <v>0</v>
      </c>
      <c r="H34" s="112">
        <f t="shared" si="6"/>
        <v>0</v>
      </c>
      <c r="I34" s="112">
        <f t="shared" si="6"/>
        <v>0</v>
      </c>
      <c r="J34" s="112">
        <f t="shared" si="6"/>
        <v>0</v>
      </c>
      <c r="K34" s="112">
        <f t="shared" si="6"/>
        <v>0</v>
      </c>
      <c r="L34" s="51">
        <f t="shared" si="6"/>
        <v>0</v>
      </c>
    </row>
    <row r="35" spans="1:12" ht="15">
      <c r="A35" s="113">
        <f>OTW_PrintLeg(I4,I3,I5)</f>
        <v>0</v>
      </c>
      <c r="B35" s="112">
        <f aca="true" t="shared" si="7" ref="B35:L35">OTW_Payoff($I4,$I3,$I5,$I6,$P$3,B27)</f>
        <v>0</v>
      </c>
      <c r="C35" s="112">
        <f t="shared" si="7"/>
        <v>0</v>
      </c>
      <c r="D35" s="112">
        <f t="shared" si="7"/>
        <v>0</v>
      </c>
      <c r="E35" s="112">
        <f t="shared" si="7"/>
        <v>0</v>
      </c>
      <c r="F35" s="112">
        <f t="shared" si="7"/>
        <v>0</v>
      </c>
      <c r="G35" s="112">
        <f t="shared" si="7"/>
        <v>0</v>
      </c>
      <c r="H35" s="112">
        <f t="shared" si="7"/>
        <v>0</v>
      </c>
      <c r="I35" s="112">
        <f t="shared" si="7"/>
        <v>0</v>
      </c>
      <c r="J35" s="112">
        <f t="shared" si="7"/>
        <v>0</v>
      </c>
      <c r="K35" s="112">
        <f t="shared" si="7"/>
        <v>0</v>
      </c>
      <c r="L35" s="51">
        <f t="shared" si="7"/>
        <v>0</v>
      </c>
    </row>
    <row r="36" spans="1:12" ht="15">
      <c r="A36" s="113">
        <f>OTW_PrintLeg(J4,J3,J5)</f>
        <v>0</v>
      </c>
      <c r="B36" s="112">
        <f aca="true" t="shared" si="8" ref="B36:L36">OTW_Payoff($J4,$J3,$J5,$J6,$P$3,B27)</f>
        <v>0</v>
      </c>
      <c r="C36" s="112">
        <f t="shared" si="8"/>
        <v>0</v>
      </c>
      <c r="D36" s="112">
        <f t="shared" si="8"/>
        <v>0</v>
      </c>
      <c r="E36" s="112">
        <f t="shared" si="8"/>
        <v>0</v>
      </c>
      <c r="F36" s="112">
        <f t="shared" si="8"/>
        <v>0</v>
      </c>
      <c r="G36" s="112">
        <f t="shared" si="8"/>
        <v>0</v>
      </c>
      <c r="H36" s="112">
        <f t="shared" si="8"/>
        <v>0</v>
      </c>
      <c r="I36" s="112">
        <f t="shared" si="8"/>
        <v>0</v>
      </c>
      <c r="J36" s="112">
        <f t="shared" si="8"/>
        <v>0</v>
      </c>
      <c r="K36" s="112">
        <f t="shared" si="8"/>
        <v>0</v>
      </c>
      <c r="L36" s="51">
        <f t="shared" si="8"/>
        <v>0</v>
      </c>
    </row>
    <row r="37" spans="1:12" ht="15">
      <c r="A37" s="113">
        <f>OTW_PrintLeg(K4,K3,K5)</f>
        <v>0</v>
      </c>
      <c r="B37" s="112">
        <f aca="true" t="shared" si="9" ref="B37:L37">OTW_Payoff($K4,$K3,$K5,$K6,$P$3,B27)</f>
        <v>0</v>
      </c>
      <c r="C37" s="112">
        <f t="shared" si="9"/>
        <v>0</v>
      </c>
      <c r="D37" s="112">
        <f t="shared" si="9"/>
        <v>0</v>
      </c>
      <c r="E37" s="112">
        <f t="shared" si="9"/>
        <v>0</v>
      </c>
      <c r="F37" s="112">
        <f t="shared" si="9"/>
        <v>0</v>
      </c>
      <c r="G37" s="112">
        <f t="shared" si="9"/>
        <v>0</v>
      </c>
      <c r="H37" s="112">
        <f t="shared" si="9"/>
        <v>0</v>
      </c>
      <c r="I37" s="112">
        <f t="shared" si="9"/>
        <v>0</v>
      </c>
      <c r="J37" s="112">
        <f t="shared" si="9"/>
        <v>0</v>
      </c>
      <c r="K37" s="112">
        <f t="shared" si="9"/>
        <v>0</v>
      </c>
      <c r="L37" s="51">
        <f t="shared" si="9"/>
        <v>0</v>
      </c>
    </row>
    <row r="38" spans="1:12" ht="15.75" thickBot="1">
      <c r="A38" s="114" t="s">
        <v>27</v>
      </c>
      <c r="B38" s="115">
        <f>SUM(B28:B37)</f>
        <v>39.99999999999997</v>
      </c>
      <c r="C38" s="115">
        <f aca="true" t="shared" si="10" ref="C38:L38">SUM(C28:C37)</f>
        <v>39.99999999999997</v>
      </c>
      <c r="D38" s="115">
        <f t="shared" si="10"/>
        <v>39.99999999999997</v>
      </c>
      <c r="E38" s="115">
        <f t="shared" si="10"/>
        <v>39.99999999999997</v>
      </c>
      <c r="F38" s="115">
        <f t="shared" si="10"/>
        <v>39.99999999999997</v>
      </c>
      <c r="G38" s="115">
        <f t="shared" si="10"/>
        <v>-10.000000000000028</v>
      </c>
      <c r="H38" s="115">
        <f t="shared" si="10"/>
        <v>-60.00000000000003</v>
      </c>
      <c r="I38" s="115">
        <f t="shared" si="10"/>
        <v>-60.000000000000014</v>
      </c>
      <c r="J38" s="115">
        <f t="shared" si="10"/>
        <v>-60</v>
      </c>
      <c r="K38" s="115">
        <f t="shared" si="10"/>
        <v>-60.000000000000014</v>
      </c>
      <c r="L38" s="116">
        <f t="shared" si="10"/>
        <v>-60.00000000000001</v>
      </c>
    </row>
    <row r="39" ht="15.75" thickTop="1"/>
  </sheetData>
  <sheetProtection/>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codeName="Sheet3"/>
  <dimension ref="A1:P70"/>
  <sheetViews>
    <sheetView showGridLines="0" zoomScale="85" zoomScaleNormal="85" zoomScalePageLayoutView="0" workbookViewId="0" topLeftCell="A1">
      <selection activeCell="A1" sqref="A1"/>
    </sheetView>
  </sheetViews>
  <sheetFormatPr defaultColWidth="9.140625" defaultRowHeight="12.75"/>
  <cols>
    <col min="1" max="1" width="18.140625" style="16" bestFit="1" customWidth="1"/>
    <col min="2" max="2" width="9.421875" style="17" customWidth="1"/>
    <col min="3" max="12" width="9.28125" style="17" bestFit="1" customWidth="1"/>
    <col min="13" max="15" width="9.140625" style="17" customWidth="1"/>
    <col min="16" max="16" width="10.57421875" style="17" bestFit="1" customWidth="1"/>
    <col min="17" max="16384" width="9.140625" style="17" customWidth="1"/>
  </cols>
  <sheetData>
    <row r="1" ht="15.75">
      <c r="A1" s="42"/>
    </row>
    <row r="2" spans="1:16" ht="15.75">
      <c r="A2" s="43"/>
      <c r="B2" s="44" t="s">
        <v>74</v>
      </c>
      <c r="C2" s="44" t="s">
        <v>75</v>
      </c>
      <c r="D2" s="44" t="s">
        <v>76</v>
      </c>
      <c r="E2" s="44" t="s">
        <v>77</v>
      </c>
      <c r="F2" s="44" t="s">
        <v>78</v>
      </c>
      <c r="G2" s="44" t="s">
        <v>79</v>
      </c>
      <c r="H2" s="44" t="s">
        <v>80</v>
      </c>
      <c r="I2" s="44" t="s">
        <v>81</v>
      </c>
      <c r="J2" s="44" t="s">
        <v>82</v>
      </c>
      <c r="K2" s="44" t="s">
        <v>83</v>
      </c>
      <c r="L2" s="45" t="s">
        <v>27</v>
      </c>
      <c r="N2" s="46"/>
      <c r="O2" s="47" t="s">
        <v>0</v>
      </c>
      <c r="P2" s="37">
        <v>37</v>
      </c>
    </row>
    <row r="3" spans="1:16" ht="15.75">
      <c r="A3" s="2" t="s">
        <v>2</v>
      </c>
      <c r="B3" s="48">
        <f ca="1">TODAY()+30</f>
        <v>44247</v>
      </c>
      <c r="C3" s="49">
        <f ca="1">TODAY()+30</f>
        <v>44247</v>
      </c>
      <c r="D3" s="49"/>
      <c r="E3" s="49"/>
      <c r="F3" s="49"/>
      <c r="G3" s="49"/>
      <c r="H3" s="49"/>
      <c r="I3" s="49"/>
      <c r="J3" s="49"/>
      <c r="K3" s="50"/>
      <c r="L3" s="51"/>
      <c r="N3" s="52"/>
      <c r="O3" s="53" t="s">
        <v>69</v>
      </c>
      <c r="P3" s="54">
        <v>0</v>
      </c>
    </row>
    <row r="4" spans="1:16" ht="15.75">
      <c r="A4" s="2" t="s">
        <v>11</v>
      </c>
      <c r="B4" s="55">
        <v>-1</v>
      </c>
      <c r="C4" s="56">
        <v>1</v>
      </c>
      <c r="D4" s="56"/>
      <c r="E4" s="56"/>
      <c r="F4" s="56"/>
      <c r="G4" s="56"/>
      <c r="H4" s="56"/>
      <c r="I4" s="56"/>
      <c r="J4" s="56"/>
      <c r="K4" s="57"/>
      <c r="L4" s="51"/>
      <c r="N4" s="52"/>
      <c r="O4" s="58" t="s">
        <v>70</v>
      </c>
      <c r="P4" s="59">
        <v>100</v>
      </c>
    </row>
    <row r="5" spans="1:16" ht="15.75">
      <c r="A5" s="53" t="s">
        <v>10</v>
      </c>
      <c r="B5" s="55" t="s">
        <v>41</v>
      </c>
      <c r="C5" s="56" t="s">
        <v>41</v>
      </c>
      <c r="D5" s="56"/>
      <c r="E5" s="56"/>
      <c r="F5" s="56"/>
      <c r="G5" s="56"/>
      <c r="H5" s="56"/>
      <c r="I5" s="56"/>
      <c r="J5" s="56"/>
      <c r="K5" s="57"/>
      <c r="L5" s="51"/>
      <c r="N5" s="52"/>
      <c r="O5" s="53" t="s">
        <v>1</v>
      </c>
      <c r="P5" s="12">
        <v>0.005</v>
      </c>
    </row>
    <row r="6" spans="1:16" ht="15.75">
      <c r="A6" s="2" t="s">
        <v>28</v>
      </c>
      <c r="B6" s="55">
        <v>35</v>
      </c>
      <c r="C6" s="56">
        <v>36</v>
      </c>
      <c r="D6" s="60"/>
      <c r="E6" s="56"/>
      <c r="F6" s="56"/>
      <c r="G6" s="56"/>
      <c r="H6" s="56"/>
      <c r="I6" s="56"/>
      <c r="J6" s="56"/>
      <c r="K6" s="57"/>
      <c r="L6" s="51"/>
      <c r="N6" s="52"/>
      <c r="O6" s="53" t="s">
        <v>44</v>
      </c>
      <c r="P6" s="12">
        <v>0</v>
      </c>
    </row>
    <row r="7" spans="1:16" ht="15.75">
      <c r="A7" s="4" t="s">
        <v>67</v>
      </c>
      <c r="B7" s="61"/>
      <c r="C7" s="62"/>
      <c r="D7" s="62"/>
      <c r="E7" s="62"/>
      <c r="F7" s="62"/>
      <c r="G7" s="62"/>
      <c r="H7" s="62"/>
      <c r="I7" s="62"/>
      <c r="J7" s="62"/>
      <c r="K7" s="63"/>
      <c r="L7" s="51"/>
      <c r="N7" s="52"/>
      <c r="O7" s="53" t="s">
        <v>31</v>
      </c>
      <c r="P7" s="38">
        <v>1</v>
      </c>
    </row>
    <row r="8" spans="1:16" ht="15.75">
      <c r="A8" s="4" t="s">
        <v>68</v>
      </c>
      <c r="B8" s="64">
        <f aca="true" t="shared" si="0" ref="B8:K8">OTW_IV(B5,$P$2,B6,(B3-$P$8)/365,$P$5,B7,$P$6)</f>
        <v>3.814697265625E-05</v>
      </c>
      <c r="C8" s="65">
        <f t="shared" si="0"/>
        <v>3.814697265625E-05</v>
      </c>
      <c r="D8" s="65">
        <f t="shared" si="0"/>
        <v>0</v>
      </c>
      <c r="E8" s="65">
        <f t="shared" si="0"/>
        <v>0</v>
      </c>
      <c r="F8" s="65">
        <f t="shared" si="0"/>
        <v>0</v>
      </c>
      <c r="G8" s="65">
        <f t="shared" si="0"/>
        <v>0</v>
      </c>
      <c r="H8" s="65">
        <f t="shared" si="0"/>
        <v>0</v>
      </c>
      <c r="I8" s="65">
        <f t="shared" si="0"/>
        <v>0</v>
      </c>
      <c r="J8" s="65">
        <f t="shared" si="0"/>
        <v>0</v>
      </c>
      <c r="K8" s="66">
        <f t="shared" si="0"/>
        <v>0</v>
      </c>
      <c r="L8" s="51"/>
      <c r="N8" s="67"/>
      <c r="O8" s="68" t="s">
        <v>66</v>
      </c>
      <c r="P8" s="69">
        <f ca="1">TODAY()+P3</f>
        <v>44217</v>
      </c>
    </row>
    <row r="9" spans="1:12" ht="15.75">
      <c r="A9" s="2" t="s">
        <v>85</v>
      </c>
      <c r="B9" s="70">
        <v>0.25</v>
      </c>
      <c r="C9" s="71">
        <v>0.35</v>
      </c>
      <c r="D9" s="71">
        <v>0</v>
      </c>
      <c r="E9" s="71">
        <v>0</v>
      </c>
      <c r="F9" s="71">
        <v>0</v>
      </c>
      <c r="G9" s="71">
        <v>0</v>
      </c>
      <c r="H9" s="71">
        <v>0</v>
      </c>
      <c r="I9" s="71">
        <v>0</v>
      </c>
      <c r="J9" s="71">
        <v>0</v>
      </c>
      <c r="K9" s="72">
        <v>0</v>
      </c>
      <c r="L9" s="51"/>
    </row>
    <row r="10" spans="1:14" ht="15.75">
      <c r="A10" s="4" t="s">
        <v>14</v>
      </c>
      <c r="B10" s="73">
        <f aca="true" t="shared" si="1" ref="B10:K10">OTW_BlackScholes(B5,"p",$P$2,B6,(B3-$P$8)/365,$P$5,B9,$P$6)</f>
        <v>2.334719070405267</v>
      </c>
      <c r="C10" s="31">
        <f t="shared" si="1"/>
        <v>2.023278798358607</v>
      </c>
      <c r="D10" s="31">
        <f t="shared" si="1"/>
        <v>0</v>
      </c>
      <c r="E10" s="31">
        <f t="shared" si="1"/>
        <v>0</v>
      </c>
      <c r="F10" s="31">
        <f t="shared" si="1"/>
        <v>0</v>
      </c>
      <c r="G10" s="31">
        <f t="shared" si="1"/>
        <v>0</v>
      </c>
      <c r="H10" s="31">
        <f t="shared" si="1"/>
        <v>0</v>
      </c>
      <c r="I10" s="31">
        <f t="shared" si="1"/>
        <v>0</v>
      </c>
      <c r="J10" s="31">
        <f t="shared" si="1"/>
        <v>0</v>
      </c>
      <c r="K10" s="32">
        <f t="shared" si="1"/>
        <v>0</v>
      </c>
      <c r="L10" s="51"/>
      <c r="N10" s="16"/>
    </row>
    <row r="11" spans="1:13" ht="15.75">
      <c r="A11" s="5" t="s">
        <v>30</v>
      </c>
      <c r="B11" s="74">
        <f aca="true" t="shared" si="2" ref="B11:K11">IF(ISBLANK(B7),B10,B7)</f>
        <v>2.334719070405267</v>
      </c>
      <c r="C11" s="75">
        <f t="shared" si="2"/>
        <v>2.023278798358607</v>
      </c>
      <c r="D11" s="75">
        <f t="shared" si="2"/>
        <v>0</v>
      </c>
      <c r="E11" s="75">
        <f t="shared" si="2"/>
        <v>0</v>
      </c>
      <c r="F11" s="75">
        <f t="shared" si="2"/>
        <v>0</v>
      </c>
      <c r="G11" s="75">
        <f t="shared" si="2"/>
        <v>0</v>
      </c>
      <c r="H11" s="75">
        <f t="shared" si="2"/>
        <v>0</v>
      </c>
      <c r="I11" s="75">
        <f t="shared" si="2"/>
        <v>0</v>
      </c>
      <c r="J11" s="75">
        <f t="shared" si="2"/>
        <v>0</v>
      </c>
      <c r="K11" s="76">
        <f t="shared" si="2"/>
        <v>0</v>
      </c>
      <c r="L11" s="77">
        <f>SUMPRODUCT(B11:K11,B4:K4)*P4</f>
        <v>-31.144027204666003</v>
      </c>
      <c r="M11" s="17" t="s">
        <v>29</v>
      </c>
    </row>
    <row r="12" spans="1:13" ht="15.75">
      <c r="A12" s="78" t="s">
        <v>4</v>
      </c>
      <c r="B12" s="79">
        <f aca="true" t="shared" si="3" ref="B12:K12">IF(ISBLANK(B5),0,IF(LEFT(B5,1)="s",1*B4,OTW_BlackScholes(B5,"d",$P$2,B6,(B3-$P$8)/365,$P$5,B9,$P$6)*B4))</f>
        <v>-0.7930064752851342</v>
      </c>
      <c r="C12" s="80">
        <f t="shared" si="3"/>
        <v>0.6282881030570694</v>
      </c>
      <c r="D12" s="80">
        <f t="shared" si="3"/>
        <v>0</v>
      </c>
      <c r="E12" s="80">
        <f t="shared" si="3"/>
        <v>0</v>
      </c>
      <c r="F12" s="80">
        <f t="shared" si="3"/>
        <v>0</v>
      </c>
      <c r="G12" s="80">
        <f t="shared" si="3"/>
        <v>0</v>
      </c>
      <c r="H12" s="80">
        <f t="shared" si="3"/>
        <v>0</v>
      </c>
      <c r="I12" s="80">
        <f t="shared" si="3"/>
        <v>0</v>
      </c>
      <c r="J12" s="80">
        <f t="shared" si="3"/>
        <v>0</v>
      </c>
      <c r="K12" s="81">
        <f t="shared" si="3"/>
        <v>0</v>
      </c>
      <c r="L12" s="82">
        <f>SUM(B12:K12)*$P$4</f>
        <v>-16.471837222806485</v>
      </c>
      <c r="M12" s="17" t="s">
        <v>32</v>
      </c>
    </row>
    <row r="13" spans="1:13" ht="15.75">
      <c r="A13" s="4" t="s">
        <v>5</v>
      </c>
      <c r="B13" s="79">
        <f aca="true" t="shared" si="4" ref="B13:K13">IF(ISBLANK(B5),0,IF(LEFT(B5,1)="s",0,OTW_BlackScholes(B5,"g",$P$2,B6,(B3-$P$8)/365,$P$5,B9,$P$6)*B4))</f>
        <v>-0.10775740803266268</v>
      </c>
      <c r="C13" s="80">
        <f t="shared" si="4"/>
        <v>0.10184997071118304</v>
      </c>
      <c r="D13" s="80">
        <f t="shared" si="4"/>
        <v>0</v>
      </c>
      <c r="E13" s="80">
        <f t="shared" si="4"/>
        <v>0</v>
      </c>
      <c r="F13" s="80">
        <f t="shared" si="4"/>
        <v>0</v>
      </c>
      <c r="G13" s="80">
        <f t="shared" si="4"/>
        <v>0</v>
      </c>
      <c r="H13" s="80">
        <f t="shared" si="4"/>
        <v>0</v>
      </c>
      <c r="I13" s="80">
        <f t="shared" si="4"/>
        <v>0</v>
      </c>
      <c r="J13" s="80">
        <f t="shared" si="4"/>
        <v>0</v>
      </c>
      <c r="K13" s="81">
        <f t="shared" si="4"/>
        <v>0</v>
      </c>
      <c r="L13" s="82">
        <f>SUM(B13:K13)*$P$4</f>
        <v>-0.5907437321479636</v>
      </c>
      <c r="M13" s="17" t="s">
        <v>33</v>
      </c>
    </row>
    <row r="14" spans="1:13" ht="15">
      <c r="A14" s="4" t="s">
        <v>7</v>
      </c>
      <c r="B14" s="79">
        <f aca="true" t="shared" si="5" ref="B14:K14">IF(ISBLANK(B5),0,IF(LEFT(B5,1)="s",0,OTW_BlackScholes(B5,"t",$P$2,B6,(B3-$P$8)/365,$P$5,B9,$P$6)*B4))</f>
        <v>0.013000080041022117</v>
      </c>
      <c r="C14" s="80">
        <f t="shared" si="5"/>
        <v>-0.023688669210054386</v>
      </c>
      <c r="D14" s="80">
        <f t="shared" si="5"/>
        <v>0</v>
      </c>
      <c r="E14" s="80">
        <f t="shared" si="5"/>
        <v>0</v>
      </c>
      <c r="F14" s="80">
        <f t="shared" si="5"/>
        <v>0</v>
      </c>
      <c r="G14" s="80">
        <f t="shared" si="5"/>
        <v>0</v>
      </c>
      <c r="H14" s="80">
        <f t="shared" si="5"/>
        <v>0</v>
      </c>
      <c r="I14" s="80">
        <f t="shared" si="5"/>
        <v>0</v>
      </c>
      <c r="J14" s="80">
        <f t="shared" si="5"/>
        <v>0</v>
      </c>
      <c r="K14" s="81">
        <f t="shared" si="5"/>
        <v>0</v>
      </c>
      <c r="L14" s="82">
        <f>SUM(B14:K14)*$P$4</f>
        <v>-1.068858916903227</v>
      </c>
      <c r="M14" s="17" t="s">
        <v>34</v>
      </c>
    </row>
    <row r="15" spans="1:13" ht="15">
      <c r="A15" s="4" t="s">
        <v>6</v>
      </c>
      <c r="B15" s="79">
        <f aca="true" t="shared" si="6" ref="B15:K15">IF(ISBLANK(B5),0,IF(LEFT(B5,1)="s",0,OTW_BlackScholes(B5,"v",$P$2,B6,(B3-$P$8)/365,$P$5,B9,$P$6)*B4))</f>
        <v>-0.030312306492475724</v>
      </c>
      <c r="C15" s="80">
        <f t="shared" si="6"/>
        <v>0.04011075079418905</v>
      </c>
      <c r="D15" s="80">
        <f t="shared" si="6"/>
        <v>0</v>
      </c>
      <c r="E15" s="80">
        <f t="shared" si="6"/>
        <v>0</v>
      </c>
      <c r="F15" s="80">
        <f t="shared" si="6"/>
        <v>0</v>
      </c>
      <c r="G15" s="80">
        <f t="shared" si="6"/>
        <v>0</v>
      </c>
      <c r="H15" s="80">
        <f t="shared" si="6"/>
        <v>0</v>
      </c>
      <c r="I15" s="80">
        <f t="shared" si="6"/>
        <v>0</v>
      </c>
      <c r="J15" s="80">
        <f t="shared" si="6"/>
        <v>0</v>
      </c>
      <c r="K15" s="81">
        <f t="shared" si="6"/>
        <v>0</v>
      </c>
      <c r="L15" s="82">
        <f>SUM(B15:K15)*$P$4</f>
        <v>0.9798444301713325</v>
      </c>
      <c r="M15" s="17" t="s">
        <v>35</v>
      </c>
    </row>
    <row r="16" spans="1:13" ht="15">
      <c r="A16" s="5" t="s">
        <v>18</v>
      </c>
      <c r="B16" s="74">
        <f aca="true" t="shared" si="7" ref="B16:K16">IF(ISBLANK(B5),0,IF(LEFT(B5,1)="s",0,OTW_BlackScholes(B5,"r",$P$2,B6,(B3-$P$8)/365,$P$5,B9,$P$6)*B4))</f>
        <v>-0.022197140149434</v>
      </c>
      <c r="C16" s="75">
        <f t="shared" si="7"/>
        <v>0.017443874806646265</v>
      </c>
      <c r="D16" s="75">
        <f t="shared" si="7"/>
        <v>0</v>
      </c>
      <c r="E16" s="75">
        <f t="shared" si="7"/>
        <v>0</v>
      </c>
      <c r="F16" s="75">
        <f t="shared" si="7"/>
        <v>0</v>
      </c>
      <c r="G16" s="75">
        <f t="shared" si="7"/>
        <v>0</v>
      </c>
      <c r="H16" s="75">
        <f t="shared" si="7"/>
        <v>0</v>
      </c>
      <c r="I16" s="75">
        <f t="shared" si="7"/>
        <v>0</v>
      </c>
      <c r="J16" s="75">
        <f t="shared" si="7"/>
        <v>0</v>
      </c>
      <c r="K16" s="76">
        <f t="shared" si="7"/>
        <v>0</v>
      </c>
      <c r="L16" s="83">
        <f>SUM(B16:K16)*$P$4</f>
        <v>-0.4753265342787735</v>
      </c>
      <c r="M16" s="17" t="s">
        <v>36</v>
      </c>
    </row>
    <row r="17" spans="3:11" ht="15.75">
      <c r="C17" s="19"/>
      <c r="D17" s="19"/>
      <c r="E17" s="19"/>
      <c r="F17" s="19"/>
      <c r="G17" s="19"/>
      <c r="H17" s="19"/>
      <c r="I17" s="84"/>
      <c r="J17" s="19"/>
      <c r="K17" s="19"/>
    </row>
    <row r="18" spans="3:11" ht="15.75">
      <c r="C18" s="19"/>
      <c r="D18" s="19"/>
      <c r="E18" s="19"/>
      <c r="F18" s="19"/>
      <c r="G18" s="19"/>
      <c r="H18" s="19"/>
      <c r="I18" s="84"/>
      <c r="J18" s="19"/>
      <c r="K18" s="19"/>
    </row>
    <row r="19" spans="3:11" ht="15">
      <c r="C19" s="19"/>
      <c r="D19" s="19"/>
      <c r="E19" s="19"/>
      <c r="F19" s="19"/>
      <c r="G19" s="19"/>
      <c r="H19" s="19"/>
      <c r="I19" s="84"/>
      <c r="J19" s="19"/>
      <c r="K19" s="19"/>
    </row>
    <row r="20" spans="3:11" ht="15">
      <c r="C20" s="19"/>
      <c r="D20" s="19"/>
      <c r="E20" s="19"/>
      <c r="F20" s="19"/>
      <c r="G20" s="19"/>
      <c r="H20" s="19"/>
      <c r="I20" s="84"/>
      <c r="J20" s="19"/>
      <c r="K20" s="19"/>
    </row>
    <row r="21" spans="3:11" ht="15">
      <c r="C21" s="19"/>
      <c r="D21" s="19"/>
      <c r="E21" s="19"/>
      <c r="F21" s="19"/>
      <c r="G21" s="19"/>
      <c r="H21" s="19"/>
      <c r="I21" s="84"/>
      <c r="J21" s="19"/>
      <c r="K21" s="19"/>
    </row>
    <row r="22" spans="3:11" ht="15">
      <c r="C22" s="19"/>
      <c r="D22" s="19"/>
      <c r="E22" s="19"/>
      <c r="F22" s="19"/>
      <c r="G22" s="19"/>
      <c r="H22" s="19"/>
      <c r="I22" s="84"/>
      <c r="J22" s="19"/>
      <c r="K22" s="19"/>
    </row>
    <row r="23" spans="3:11" ht="15">
      <c r="C23" s="19"/>
      <c r="D23" s="19"/>
      <c r="E23" s="19"/>
      <c r="F23" s="19"/>
      <c r="G23" s="19"/>
      <c r="H23" s="19"/>
      <c r="I23" s="84"/>
      <c r="J23" s="19"/>
      <c r="K23" s="19"/>
    </row>
    <row r="24" spans="3:11" ht="15">
      <c r="C24" s="19"/>
      <c r="D24" s="19"/>
      <c r="E24" s="19"/>
      <c r="F24" s="19"/>
      <c r="G24" s="19"/>
      <c r="H24" s="19"/>
      <c r="I24" s="84"/>
      <c r="J24" s="19"/>
      <c r="K24" s="19"/>
    </row>
    <row r="25" spans="3:11" ht="15">
      <c r="C25" s="19"/>
      <c r="D25" s="19"/>
      <c r="E25" s="19"/>
      <c r="F25" s="19"/>
      <c r="G25" s="19"/>
      <c r="H25" s="19"/>
      <c r="I25" s="84"/>
      <c r="J25" s="19"/>
      <c r="K25" s="19"/>
    </row>
    <row r="26" spans="3:11" ht="15">
      <c r="C26" s="19"/>
      <c r="D26" s="19"/>
      <c r="E26" s="19"/>
      <c r="F26" s="19"/>
      <c r="G26" s="19"/>
      <c r="H26" s="19"/>
      <c r="I26" s="84"/>
      <c r="J26" s="19"/>
      <c r="K26" s="19"/>
    </row>
    <row r="27" spans="3:11" ht="15">
      <c r="C27" s="19"/>
      <c r="D27" s="19"/>
      <c r="E27" s="19"/>
      <c r="F27" s="19"/>
      <c r="G27" s="19"/>
      <c r="H27" s="19"/>
      <c r="I27" s="84"/>
      <c r="J27" s="19"/>
      <c r="K27" s="19"/>
    </row>
    <row r="28" spans="3:11" ht="15">
      <c r="C28" s="19"/>
      <c r="D28" s="19"/>
      <c r="E28" s="19"/>
      <c r="F28" s="19"/>
      <c r="G28" s="19"/>
      <c r="H28" s="19"/>
      <c r="I28" s="84"/>
      <c r="J28" s="19"/>
      <c r="K28" s="19"/>
    </row>
    <row r="29" spans="3:11" ht="15">
      <c r="C29" s="19"/>
      <c r="D29" s="19"/>
      <c r="E29" s="19"/>
      <c r="F29" s="19"/>
      <c r="G29" s="19"/>
      <c r="H29" s="19"/>
      <c r="I29" s="84"/>
      <c r="J29" s="19"/>
      <c r="K29" s="19"/>
    </row>
    <row r="30" spans="3:11" ht="15">
      <c r="C30" s="19"/>
      <c r="D30" s="19"/>
      <c r="E30" s="19"/>
      <c r="F30" s="19"/>
      <c r="G30" s="19"/>
      <c r="H30" s="19"/>
      <c r="I30" s="84"/>
      <c r="J30" s="19"/>
      <c r="K30" s="19"/>
    </row>
    <row r="31" spans="3:11" ht="15">
      <c r="C31" s="19"/>
      <c r="D31" s="19"/>
      <c r="E31" s="19"/>
      <c r="F31" s="19"/>
      <c r="G31" s="19"/>
      <c r="H31" s="19"/>
      <c r="I31" s="84"/>
      <c r="J31" s="19"/>
      <c r="K31" s="19"/>
    </row>
    <row r="32" spans="3:11" ht="15">
      <c r="C32" s="19"/>
      <c r="D32" s="19"/>
      <c r="E32" s="19"/>
      <c r="F32" s="19"/>
      <c r="G32" s="19"/>
      <c r="H32" s="19"/>
      <c r="I32" s="84"/>
      <c r="J32" s="19"/>
      <c r="K32" s="19"/>
    </row>
    <row r="33" spans="1:12" ht="15">
      <c r="A33" s="85" t="s">
        <v>73</v>
      </c>
      <c r="B33" s="86"/>
      <c r="C33" s="86"/>
      <c r="D33" s="86"/>
      <c r="E33" s="86"/>
      <c r="F33" s="86"/>
      <c r="G33" s="86"/>
      <c r="H33" s="86"/>
      <c r="I33" s="87"/>
      <c r="J33" s="88"/>
      <c r="K33" s="86"/>
      <c r="L33" s="88"/>
    </row>
    <row r="34" spans="1:12" ht="15">
      <c r="A34" s="89" t="s">
        <v>0</v>
      </c>
      <c r="B34" s="90">
        <f>C34-$P$7</f>
        <v>32</v>
      </c>
      <c r="C34" s="90">
        <f>D34-$P$7</f>
        <v>33</v>
      </c>
      <c r="D34" s="90">
        <f>E34-$P$7</f>
        <v>34</v>
      </c>
      <c r="E34" s="90">
        <f>F34-$P$7</f>
        <v>35</v>
      </c>
      <c r="F34" s="90">
        <f>G34-$P$7</f>
        <v>36</v>
      </c>
      <c r="G34" s="90">
        <f>P2</f>
        <v>37</v>
      </c>
      <c r="H34" s="90">
        <f>G34+$P$7</f>
        <v>38</v>
      </c>
      <c r="I34" s="90">
        <f>H34+$P$7</f>
        <v>39</v>
      </c>
      <c r="J34" s="90">
        <f>I34+$P$7</f>
        <v>40</v>
      </c>
      <c r="K34" s="90">
        <f>J34+$P$7</f>
        <v>41</v>
      </c>
      <c r="L34" s="91">
        <f>K34+$P$7</f>
        <v>42</v>
      </c>
    </row>
    <row r="35" spans="1:12" ht="15">
      <c r="A35" s="92" t="s">
        <v>74</v>
      </c>
      <c r="B35" s="93">
        <f aca="true" t="shared" si="8" ref="B35:L35">IF(LEFT($B$5,1)="s",$B$4*(B$34-$B$11),IF(LEFT($B$5,1)="c",(MAX((B$34-$B$6),0)-$B$11)*$B$4*$P$4,IF(LEFT($B$5,1)="p",(MAX(($B$6-B$34),0)-$B$11)*$B$4*$P$4,0)))</f>
        <v>233.47190704052673</v>
      </c>
      <c r="C35" s="93">
        <f t="shared" si="8"/>
        <v>233.47190704052673</v>
      </c>
      <c r="D35" s="93">
        <f t="shared" si="8"/>
        <v>233.47190704052673</v>
      </c>
      <c r="E35" s="93">
        <f t="shared" si="8"/>
        <v>233.47190704052673</v>
      </c>
      <c r="F35" s="93">
        <f t="shared" si="8"/>
        <v>133.47190704052673</v>
      </c>
      <c r="G35" s="93">
        <f t="shared" si="8"/>
        <v>33.471907040526716</v>
      </c>
      <c r="H35" s="93">
        <f t="shared" si="8"/>
        <v>-66.52809295947328</v>
      </c>
      <c r="I35" s="93">
        <f t="shared" si="8"/>
        <v>-166.52809295947327</v>
      </c>
      <c r="J35" s="93">
        <f t="shared" si="8"/>
        <v>-266.52809295947327</v>
      </c>
      <c r="K35" s="93">
        <f t="shared" si="8"/>
        <v>-366.52809295947327</v>
      </c>
      <c r="L35" s="94">
        <f t="shared" si="8"/>
        <v>-466.52809295947327</v>
      </c>
    </row>
    <row r="36" spans="1:12" ht="15">
      <c r="A36" s="92" t="s">
        <v>75</v>
      </c>
      <c r="B36" s="93">
        <f aca="true" t="shared" si="9" ref="B36:L36">IF(LEFT($C$5,1)="s",$C$4*(B$34-$C$11),IF(LEFT($C$5,1)="c",(MAX((B$34-$C$6),0)-$C$11)*$C$4*$P$4,IF(LEFT($C$5,1)="p",(MAX(($C$6-B$34),0)-$C$11)*$C$4*$P$4,0)))</f>
        <v>-202.3278798358607</v>
      </c>
      <c r="C36" s="93">
        <f t="shared" si="9"/>
        <v>-202.3278798358607</v>
      </c>
      <c r="D36" s="93">
        <f t="shared" si="9"/>
        <v>-202.3278798358607</v>
      </c>
      <c r="E36" s="93">
        <f t="shared" si="9"/>
        <v>-202.3278798358607</v>
      </c>
      <c r="F36" s="93">
        <f t="shared" si="9"/>
        <v>-202.3278798358607</v>
      </c>
      <c r="G36" s="93">
        <f t="shared" si="9"/>
        <v>-102.32787983586071</v>
      </c>
      <c r="H36" s="93">
        <f t="shared" si="9"/>
        <v>-2.3278798358607133</v>
      </c>
      <c r="I36" s="93">
        <f t="shared" si="9"/>
        <v>97.67212016413929</v>
      </c>
      <c r="J36" s="93">
        <f t="shared" si="9"/>
        <v>197.6721201641393</v>
      </c>
      <c r="K36" s="93">
        <f t="shared" si="9"/>
        <v>297.6721201641393</v>
      </c>
      <c r="L36" s="94">
        <f t="shared" si="9"/>
        <v>397.6721201641393</v>
      </c>
    </row>
    <row r="37" spans="1:12" ht="15">
      <c r="A37" s="92" t="s">
        <v>76</v>
      </c>
      <c r="B37" s="93">
        <f aca="true" t="shared" si="10" ref="B37:L37">IF(LEFT($D$5,1)="s",$D$4*(B$34-$D$11),IF(LEFT($D$5,1)="c",(MAX((B$34-$D$6),0)-$D$11)*$D$4*$P$4,IF(LEFT($D$5,1)="p",(MAX(($D$6-B$34),0)-$D$11)*$D$4*$P$4,0)))</f>
        <v>0</v>
      </c>
      <c r="C37" s="93">
        <f t="shared" si="10"/>
        <v>0</v>
      </c>
      <c r="D37" s="93">
        <f t="shared" si="10"/>
        <v>0</v>
      </c>
      <c r="E37" s="93">
        <f t="shared" si="10"/>
        <v>0</v>
      </c>
      <c r="F37" s="93">
        <f t="shared" si="10"/>
        <v>0</v>
      </c>
      <c r="G37" s="93">
        <f t="shared" si="10"/>
        <v>0</v>
      </c>
      <c r="H37" s="93">
        <f t="shared" si="10"/>
        <v>0</v>
      </c>
      <c r="I37" s="93">
        <f t="shared" si="10"/>
        <v>0</v>
      </c>
      <c r="J37" s="93">
        <f t="shared" si="10"/>
        <v>0</v>
      </c>
      <c r="K37" s="93">
        <f t="shared" si="10"/>
        <v>0</v>
      </c>
      <c r="L37" s="94">
        <f t="shared" si="10"/>
        <v>0</v>
      </c>
    </row>
    <row r="38" spans="1:12" ht="15">
      <c r="A38" s="92" t="s">
        <v>77</v>
      </c>
      <c r="B38" s="93">
        <f aca="true" t="shared" si="11" ref="B38:L38">IF(LEFT($E$5,1)="s",$E$4*(B$34-$E$11),IF(LEFT($E$5,1)="c",(MAX((B$34-$E$6),0)-$E$11)*$E$4*$P$4,IF(LEFT($E$5,1)="p",(MAX(($E$6-B$34),0)-$E$11)*$E$4*$P$4,0)))</f>
        <v>0</v>
      </c>
      <c r="C38" s="93">
        <f t="shared" si="11"/>
        <v>0</v>
      </c>
      <c r="D38" s="93">
        <f t="shared" si="11"/>
        <v>0</v>
      </c>
      <c r="E38" s="93">
        <f t="shared" si="11"/>
        <v>0</v>
      </c>
      <c r="F38" s="93">
        <f t="shared" si="11"/>
        <v>0</v>
      </c>
      <c r="G38" s="93">
        <f t="shared" si="11"/>
        <v>0</v>
      </c>
      <c r="H38" s="93">
        <f t="shared" si="11"/>
        <v>0</v>
      </c>
      <c r="I38" s="93">
        <f t="shared" si="11"/>
        <v>0</v>
      </c>
      <c r="J38" s="93">
        <f t="shared" si="11"/>
        <v>0</v>
      </c>
      <c r="K38" s="93">
        <f t="shared" si="11"/>
        <v>0</v>
      </c>
      <c r="L38" s="94">
        <f t="shared" si="11"/>
        <v>0</v>
      </c>
    </row>
    <row r="39" spans="1:12" ht="15">
      <c r="A39" s="92" t="s">
        <v>78</v>
      </c>
      <c r="B39" s="93">
        <f>IF(LEFT($F$5,1)="s",$F$4*(B$34-F$11),IF(LEFT($F$5,1)="c",(MAX((B$34-$F$6),0)-$F$11)*$F$4*$P$4,IF(LEFT($F$5,1)="p",(MAX(($F$6-B$34),0)-$F$11)*$F$4*$P$4,0)))</f>
        <v>0</v>
      </c>
      <c r="C39" s="93">
        <f aca="true" t="shared" si="12" ref="C39:L39">IF(LEFT($F$5,1)="s",$F$4*(C34-$F$11),IF(LEFT($F$5,1)="c",(MAX((C34-$F$6),0)-$F$11)*$F$4*$P$4,IF(LEFT($F$5,1)="p",(MAX(($F$6-C34),0)-$F$11)*$F$4*$P$4,0)))</f>
        <v>0</v>
      </c>
      <c r="D39" s="93">
        <f t="shared" si="12"/>
        <v>0</v>
      </c>
      <c r="E39" s="93">
        <f t="shared" si="12"/>
        <v>0</v>
      </c>
      <c r="F39" s="93">
        <f t="shared" si="12"/>
        <v>0</v>
      </c>
      <c r="G39" s="93">
        <f t="shared" si="12"/>
        <v>0</v>
      </c>
      <c r="H39" s="93">
        <f t="shared" si="12"/>
        <v>0</v>
      </c>
      <c r="I39" s="93">
        <f t="shared" si="12"/>
        <v>0</v>
      </c>
      <c r="J39" s="93">
        <f t="shared" si="12"/>
        <v>0</v>
      </c>
      <c r="K39" s="93">
        <f t="shared" si="12"/>
        <v>0</v>
      </c>
      <c r="L39" s="94">
        <f t="shared" si="12"/>
        <v>0</v>
      </c>
    </row>
    <row r="40" spans="1:12" ht="15">
      <c r="A40" s="92" t="s">
        <v>79</v>
      </c>
      <c r="B40" s="93">
        <f aca="true" t="shared" si="13" ref="B40:L40">IF(LEFT($G$5,1)="s",$G$4*(B$34-G$11),IF(LEFT($G$5,1)="c",(MAX((B$34-$G$6),0)-$G$11)*$G$4*$P$4,IF(LEFT($G$5,1)="p",(MAX(($G$6-B$34),0)-$G$11)*$G$4*$P$4,0)))</f>
        <v>0</v>
      </c>
      <c r="C40" s="93">
        <f t="shared" si="13"/>
        <v>0</v>
      </c>
      <c r="D40" s="93">
        <f t="shared" si="13"/>
        <v>0</v>
      </c>
      <c r="E40" s="93">
        <f t="shared" si="13"/>
        <v>0</v>
      </c>
      <c r="F40" s="93">
        <f t="shared" si="13"/>
        <v>0</v>
      </c>
      <c r="G40" s="93">
        <f t="shared" si="13"/>
        <v>0</v>
      </c>
      <c r="H40" s="93">
        <f t="shared" si="13"/>
        <v>0</v>
      </c>
      <c r="I40" s="93">
        <f t="shared" si="13"/>
        <v>0</v>
      </c>
      <c r="J40" s="93">
        <f t="shared" si="13"/>
        <v>0</v>
      </c>
      <c r="K40" s="93">
        <f t="shared" si="13"/>
        <v>0</v>
      </c>
      <c r="L40" s="94">
        <f t="shared" si="13"/>
        <v>0</v>
      </c>
    </row>
    <row r="41" spans="1:12" ht="15">
      <c r="A41" s="92" t="s">
        <v>80</v>
      </c>
      <c r="B41" s="93">
        <f aca="true" t="shared" si="14" ref="B41:L41">IF(LEFT($H$5,1)="s",$H$4*(B$34-H$11),IF(LEFT($H$5,1)="c",(MAX((B$34-$H$6),0)-$H$11)*$H$4*$P$4,IF(LEFT($H$5,1)="p",(MAX(($H$6-B$34),0)-$H$11)*$H$4*$P$4,0)))</f>
        <v>0</v>
      </c>
      <c r="C41" s="93">
        <f t="shared" si="14"/>
        <v>0</v>
      </c>
      <c r="D41" s="93">
        <f t="shared" si="14"/>
        <v>0</v>
      </c>
      <c r="E41" s="93">
        <f t="shared" si="14"/>
        <v>0</v>
      </c>
      <c r="F41" s="93">
        <f t="shared" si="14"/>
        <v>0</v>
      </c>
      <c r="G41" s="93">
        <f t="shared" si="14"/>
        <v>0</v>
      </c>
      <c r="H41" s="93">
        <f t="shared" si="14"/>
        <v>0</v>
      </c>
      <c r="I41" s="93">
        <f t="shared" si="14"/>
        <v>0</v>
      </c>
      <c r="J41" s="93">
        <f t="shared" si="14"/>
        <v>0</v>
      </c>
      <c r="K41" s="93">
        <f t="shared" si="14"/>
        <v>0</v>
      </c>
      <c r="L41" s="94">
        <f t="shared" si="14"/>
        <v>0</v>
      </c>
    </row>
    <row r="42" spans="1:12" ht="15">
      <c r="A42" s="92" t="s">
        <v>81</v>
      </c>
      <c r="B42" s="93">
        <f aca="true" t="shared" si="15" ref="B42:K42">IF(LEFT($I$5,1)="s",$I$4*(B$34-I$11),IF(LEFT($I$5,1)="c",(MAX((B$34-$I$6),0)-$I$11)*$I$4*$P$4,IF(LEFT($I$5,1)="p",(MAX(($I$6-B$34),0)-$I$11)*$I$4*$P$4,0)))</f>
        <v>0</v>
      </c>
      <c r="C42" s="93">
        <f t="shared" si="15"/>
        <v>0</v>
      </c>
      <c r="D42" s="93">
        <f t="shared" si="15"/>
        <v>0</v>
      </c>
      <c r="E42" s="93">
        <f t="shared" si="15"/>
        <v>0</v>
      </c>
      <c r="F42" s="93">
        <f t="shared" si="15"/>
        <v>0</v>
      </c>
      <c r="G42" s="93">
        <f t="shared" si="15"/>
        <v>0</v>
      </c>
      <c r="H42" s="93">
        <f t="shared" si="15"/>
        <v>0</v>
      </c>
      <c r="I42" s="93">
        <f t="shared" si="15"/>
        <v>0</v>
      </c>
      <c r="J42" s="93">
        <f t="shared" si="15"/>
        <v>0</v>
      </c>
      <c r="K42" s="93">
        <f t="shared" si="15"/>
        <v>0</v>
      </c>
      <c r="L42" s="94">
        <f>IF(LEFT($I$5,1)="s",$I$4*(L$34-#REF!),IF(LEFT($I$5,1)="c",(MAX((L$34-$I$6),0)-$I$11)*$I$4*$P$4,IF(LEFT($I$5,1)="p",(MAX(($I$6-L$34),0)-$I$11)*$I$4*$P$4,0)))</f>
        <v>0</v>
      </c>
    </row>
    <row r="43" spans="1:12" ht="15">
      <c r="A43" s="92" t="s">
        <v>82</v>
      </c>
      <c r="B43" s="93">
        <f aca="true" t="shared" si="16" ref="B43:J43">IF(LEFT($J$5,1)="s",$J$4*(B$34-J$11),IF(LEFT($J$5,1)="c",(MAX((B$34-$J$6),0)-$J$11)*$J$4*$P$4,IF(LEFT($J$5,1)="p",(MAX(($J$6-B$34),0)-$J$11)*$J$4*$P$4,0)))</f>
        <v>0</v>
      </c>
      <c r="C43" s="93">
        <f t="shared" si="16"/>
        <v>0</v>
      </c>
      <c r="D43" s="93">
        <f t="shared" si="16"/>
        <v>0</v>
      </c>
      <c r="E43" s="93">
        <f t="shared" si="16"/>
        <v>0</v>
      </c>
      <c r="F43" s="93">
        <f t="shared" si="16"/>
        <v>0</v>
      </c>
      <c r="G43" s="93">
        <f t="shared" si="16"/>
        <v>0</v>
      </c>
      <c r="H43" s="93">
        <f t="shared" si="16"/>
        <v>0</v>
      </c>
      <c r="I43" s="93">
        <f t="shared" si="16"/>
        <v>0</v>
      </c>
      <c r="J43" s="93">
        <f t="shared" si="16"/>
        <v>0</v>
      </c>
      <c r="K43" s="93">
        <f>IF(LEFT($J$5,1)="s",$J$4*(K$34-#REF!),IF(LEFT($J$5,1)="c",(MAX((K$34-$J$6),0)-$J$11)*$J$4*$P$4,IF(LEFT($J$5,1)="p",(MAX(($J$6-K$34),0)-$J$11)*$J$4*$P$4,0)))</f>
        <v>0</v>
      </c>
      <c r="L43" s="94">
        <f>IF(LEFT($J$5,1)="s",$J$4*(L$34-#REF!),IF(LEFT($J$5,1)="c",(MAX((L$34-$J$6),0)-$J$11)*$J$4*$P$4,IF(LEFT($J$5,1)="p",(MAX(($J$6-L$34),0)-$J$11)*$J$4*$P$4,0)))</f>
        <v>0</v>
      </c>
    </row>
    <row r="44" spans="1:12" ht="15">
      <c r="A44" s="92" t="s">
        <v>83</v>
      </c>
      <c r="B44" s="93">
        <f aca="true" t="shared" si="17" ref="B44:I44">IF(LEFT($K$5,1)="s",$K$4*(B$34-K$11),IF(LEFT($K$5,1)="c",(MAX((B$34-$K$6),0)-$K$11)*$K$4*$P$4,IF(LEFT($K$5,1)="p",(MAX(($K$6-B$34),0)-$K$11)*$K$4*$P$4,0)))</f>
        <v>0</v>
      </c>
      <c r="C44" s="93">
        <f t="shared" si="17"/>
        <v>0</v>
      </c>
      <c r="D44" s="93">
        <f t="shared" si="17"/>
        <v>0</v>
      </c>
      <c r="E44" s="93">
        <f t="shared" si="17"/>
        <v>0</v>
      </c>
      <c r="F44" s="93">
        <f t="shared" si="17"/>
        <v>0</v>
      </c>
      <c r="G44" s="93">
        <f t="shared" si="17"/>
        <v>0</v>
      </c>
      <c r="H44" s="93">
        <f t="shared" si="17"/>
        <v>0</v>
      </c>
      <c r="I44" s="93">
        <f t="shared" si="17"/>
        <v>0</v>
      </c>
      <c r="J44" s="93">
        <f>IF(LEFT($K$5,1)="s",$K$4*(J$34-#REF!),IF(LEFT($K$5,1)="c",(MAX((J$34-$K$6),0)-$K$11)*$K$4*$P$4,IF(LEFT($K$5,1)="p",(MAX(($K$6-J$34),0)-$K$11)*$K$4*$P$4,0)))</f>
        <v>0</v>
      </c>
      <c r="K44" s="93">
        <f>IF(LEFT($K$5,1)="s",$K$4*(K$34-#REF!),IF(LEFT($K$5,1)="c",(MAX((K$34-$K$6),0)-$K$11)*$K$4*$P$4,IF(LEFT($K$5,1)="p",(MAX(($K$6-K$34),0)-$K$11)*$K$4*$P$4,0)))</f>
        <v>0</v>
      </c>
      <c r="L44" s="94">
        <f>IF(LEFT($K$5,1)="s",$K$4*(L$34-#REF!),IF(LEFT($K$5,1)="c",(MAX((L$34-$K$6),0)-$K$11)*$K$4*$P$4,IF(LEFT($K$5,1)="p",(MAX(($K$6-L$34),0)-$K$11)*$K$4*$P$4,0)))</f>
        <v>0</v>
      </c>
    </row>
    <row r="45" spans="1:12" ht="15.75" thickBot="1">
      <c r="A45" s="95" t="s">
        <v>27</v>
      </c>
      <c r="B45" s="96">
        <f aca="true" t="shared" si="18" ref="B45:L45">SUM(B35:B44)</f>
        <v>31.14402720466603</v>
      </c>
      <c r="C45" s="96">
        <f t="shared" si="18"/>
        <v>31.14402720466603</v>
      </c>
      <c r="D45" s="96">
        <f t="shared" si="18"/>
        <v>31.14402720466603</v>
      </c>
      <c r="E45" s="96">
        <f t="shared" si="18"/>
        <v>31.14402720466603</v>
      </c>
      <c r="F45" s="96">
        <f t="shared" si="18"/>
        <v>-68.85597279533397</v>
      </c>
      <c r="G45" s="96">
        <f t="shared" si="18"/>
        <v>-68.855972795334</v>
      </c>
      <c r="H45" s="96">
        <f t="shared" si="18"/>
        <v>-68.855972795334</v>
      </c>
      <c r="I45" s="96">
        <f t="shared" si="18"/>
        <v>-68.85597279533398</v>
      </c>
      <c r="J45" s="96">
        <f t="shared" si="18"/>
        <v>-68.85597279533397</v>
      </c>
      <c r="K45" s="96">
        <f t="shared" si="18"/>
        <v>-68.85597279533397</v>
      </c>
      <c r="L45" s="97">
        <f t="shared" si="18"/>
        <v>-68.85597279533397</v>
      </c>
    </row>
    <row r="46" spans="2:11" ht="15.75" thickTop="1">
      <c r="B46" s="19"/>
      <c r="C46" s="19"/>
      <c r="D46" s="19"/>
      <c r="E46" s="19"/>
      <c r="F46" s="19"/>
      <c r="G46" s="19"/>
      <c r="H46" s="19"/>
      <c r="J46" s="19"/>
      <c r="K46" s="19"/>
    </row>
    <row r="47" spans="1:12" ht="15">
      <c r="A47" s="98" t="str">
        <f>B63</f>
        <v>P&amp;L (Theoretical)</v>
      </c>
      <c r="B47" s="88"/>
      <c r="C47" s="88"/>
      <c r="D47" s="88"/>
      <c r="E47" s="88"/>
      <c r="F47" s="88"/>
      <c r="G47" s="88"/>
      <c r="H47" s="88"/>
      <c r="I47" s="88"/>
      <c r="J47" s="88"/>
      <c r="K47" s="88"/>
      <c r="L47" s="88"/>
    </row>
    <row r="48" spans="1:12" ht="15">
      <c r="A48" s="89" t="s">
        <v>0</v>
      </c>
      <c r="B48" s="86">
        <f>C48-$P$7</f>
        <v>32</v>
      </c>
      <c r="C48" s="86">
        <f>D48-$P$7</f>
        <v>33</v>
      </c>
      <c r="D48" s="86">
        <f>E48-$P$7</f>
        <v>34</v>
      </c>
      <c r="E48" s="86">
        <f>F48-$P$7</f>
        <v>35</v>
      </c>
      <c r="F48" s="86">
        <f>G48-$P$7</f>
        <v>36</v>
      </c>
      <c r="G48" s="86">
        <f>P2</f>
        <v>37</v>
      </c>
      <c r="H48" s="86">
        <f>G48+$P$7</f>
        <v>38</v>
      </c>
      <c r="I48" s="86">
        <f>H48+$P$7</f>
        <v>39</v>
      </c>
      <c r="J48" s="86">
        <f>I48+$P$7</f>
        <v>40</v>
      </c>
      <c r="K48" s="86">
        <f>J48+$P$7</f>
        <v>41</v>
      </c>
      <c r="L48" s="99">
        <f>K48+$P$7</f>
        <v>42</v>
      </c>
    </row>
    <row r="49" spans="1:12" ht="15">
      <c r="A49" s="92" t="s">
        <v>74</v>
      </c>
      <c r="B49" s="93">
        <f aca="true" t="shared" si="19" ref="B49:L49">IF($A$63=1,(OTW_BlackScholes($B$5,$B$63,B$48,$B$6,($B$3-$P$8)/365,$P$5,$B$9,$P$6)-$B$11)*$B$4*$P$4,OTW_BlackScholes($B$5,$B$63,B$48,$B$6,($B$3-$P$8)/365,$P$5,$B$9,$P$6)*$B$4*$P$4)</f>
        <v>221.20742237332226</v>
      </c>
      <c r="C49" s="93">
        <f t="shared" si="19"/>
        <v>204.98590670854088</v>
      </c>
      <c r="D49" s="93">
        <f t="shared" si="19"/>
        <v>176.41624836339903</v>
      </c>
      <c r="E49" s="93">
        <f t="shared" si="19"/>
        <v>132.71665703342563</v>
      </c>
      <c r="F49" s="93">
        <f t="shared" si="19"/>
        <v>73.33049526596334</v>
      </c>
      <c r="G49" s="93">
        <f t="shared" si="19"/>
        <v>0</v>
      </c>
      <c r="H49" s="93">
        <f t="shared" si="19"/>
        <v>-84.08633334703381</v>
      </c>
      <c r="I49" s="93">
        <f t="shared" si="19"/>
        <v>-175.45042798834947</v>
      </c>
      <c r="J49" s="93">
        <f t="shared" si="19"/>
        <v>-271.1773791021923</v>
      </c>
      <c r="K49" s="93">
        <f t="shared" si="19"/>
        <v>-369.24263879298246</v>
      </c>
      <c r="L49" s="94">
        <f t="shared" si="19"/>
        <v>-468.4376750616405</v>
      </c>
    </row>
    <row r="50" spans="1:12" ht="15">
      <c r="A50" s="92" t="s">
        <v>75</v>
      </c>
      <c r="B50" s="93">
        <f aca="true" t="shared" si="20" ref="B50:L50">IF($A$63=1,(OTW_BlackScholes($C$5,$B$63,B$48,$C$6,($C$3-$P$8)/365,$P$5,$C$9,$P$6)-$C$11)*$C$4*$P$4,OTW_BlackScholes($C$5,$B$63,B$48,$C$6,($C$3-$P$8)/365,$P$5,$C$9,$P$6)*$C$4*$P$4)</f>
        <v>-182.02495907038028</v>
      </c>
      <c r="C50" s="93">
        <f t="shared" si="20"/>
        <v>-165.2140220117375</v>
      </c>
      <c r="D50" s="93">
        <f t="shared" si="20"/>
        <v>-139.78173951969808</v>
      </c>
      <c r="E50" s="93">
        <f t="shared" si="20"/>
        <v>-104.17328064518685</v>
      </c>
      <c r="F50" s="93">
        <f t="shared" si="20"/>
        <v>-57.566898228732555</v>
      </c>
      <c r="G50" s="93">
        <f t="shared" si="20"/>
        <v>0</v>
      </c>
      <c r="H50" s="93">
        <f t="shared" si="20"/>
        <v>67.70439141746714</v>
      </c>
      <c r="I50" s="93">
        <f t="shared" si="20"/>
        <v>144.16134039561754</v>
      </c>
      <c r="J50" s="93">
        <f t="shared" si="20"/>
        <v>227.70980372869403</v>
      </c>
      <c r="K50" s="93">
        <f t="shared" si="20"/>
        <v>316.67617652675483</v>
      </c>
      <c r="L50" s="94">
        <f t="shared" si="20"/>
        <v>409.56284338782785</v>
      </c>
    </row>
    <row r="51" spans="1:12" ht="15">
      <c r="A51" s="92" t="s">
        <v>76</v>
      </c>
      <c r="B51" s="93">
        <f aca="true" t="shared" si="21" ref="B51:L51">IF($A$63=1,(OTW_BlackScholes($D$5,$B$63,B$48,$D$6,($D$3-$P$8)/365,$P$5,$D$9,$P$6)-$D$11)*$D$4*$P$4,OTW_BlackScholes($D$5,$B$63,B$48,$D$6,($D$3-$P$8)/365,$P$5,$D$9,$P$6)*$D$4*$P$4)</f>
        <v>0</v>
      </c>
      <c r="C51" s="93">
        <f t="shared" si="21"/>
        <v>0</v>
      </c>
      <c r="D51" s="93">
        <f t="shared" si="21"/>
        <v>0</v>
      </c>
      <c r="E51" s="93">
        <f t="shared" si="21"/>
        <v>0</v>
      </c>
      <c r="F51" s="93">
        <f t="shared" si="21"/>
        <v>0</v>
      </c>
      <c r="G51" s="93">
        <f t="shared" si="21"/>
        <v>0</v>
      </c>
      <c r="H51" s="93">
        <f t="shared" si="21"/>
        <v>0</v>
      </c>
      <c r="I51" s="93">
        <f t="shared" si="21"/>
        <v>0</v>
      </c>
      <c r="J51" s="93">
        <f t="shared" si="21"/>
        <v>0</v>
      </c>
      <c r="K51" s="93">
        <f t="shared" si="21"/>
        <v>0</v>
      </c>
      <c r="L51" s="94">
        <f t="shared" si="21"/>
        <v>0</v>
      </c>
    </row>
    <row r="52" spans="1:12" ht="15">
      <c r="A52" s="92" t="s">
        <v>77</v>
      </c>
      <c r="B52" s="93">
        <f aca="true" t="shared" si="22" ref="B52:L52">IF($A$63=1,(OTW_BlackScholes($E$5,$B$63,B$48,$E$6,($E$3-$P$8)/365,$P$5,$E$9,$P$6)-$E$11)*$E$4*$P$4,OTW_BlackScholes($E$5,$B$63,B$48,$E$6,($E$3-$P$8)/365,$P$5,$E$9,$P$6)*$E$4*$P$4)</f>
        <v>0</v>
      </c>
      <c r="C52" s="93">
        <f t="shared" si="22"/>
        <v>0</v>
      </c>
      <c r="D52" s="93">
        <f t="shared" si="22"/>
        <v>0</v>
      </c>
      <c r="E52" s="93">
        <f t="shared" si="22"/>
        <v>0</v>
      </c>
      <c r="F52" s="93">
        <f t="shared" si="22"/>
        <v>0</v>
      </c>
      <c r="G52" s="93">
        <f t="shared" si="22"/>
        <v>0</v>
      </c>
      <c r="H52" s="93">
        <f t="shared" si="22"/>
        <v>0</v>
      </c>
      <c r="I52" s="93">
        <f t="shared" si="22"/>
        <v>0</v>
      </c>
      <c r="J52" s="93">
        <f t="shared" si="22"/>
        <v>0</v>
      </c>
      <c r="K52" s="93">
        <f t="shared" si="22"/>
        <v>0</v>
      </c>
      <c r="L52" s="94">
        <f t="shared" si="22"/>
        <v>0</v>
      </c>
    </row>
    <row r="53" spans="1:12" ht="15">
      <c r="A53" s="92" t="s">
        <v>78</v>
      </c>
      <c r="B53" s="93">
        <f aca="true" t="shared" si="23" ref="B53:L53">IF($A$63=1,(OTW_BlackScholes($F$5,$B$63,B$48,$F$6,($F$3-$P$8)/365,$P$5,$F$9,$P$6)-$F$11)*$F$4*$P$4,OTW_BlackScholes($F$5,$B$63,B$48,$F$6,($F$3-$P$8)/365,$P$5,$F$9,$P$6)*$F$4*$P$4)</f>
        <v>0</v>
      </c>
      <c r="C53" s="93">
        <f t="shared" si="23"/>
        <v>0</v>
      </c>
      <c r="D53" s="93">
        <f t="shared" si="23"/>
        <v>0</v>
      </c>
      <c r="E53" s="93">
        <f t="shared" si="23"/>
        <v>0</v>
      </c>
      <c r="F53" s="93">
        <f t="shared" si="23"/>
        <v>0</v>
      </c>
      <c r="G53" s="93">
        <f t="shared" si="23"/>
        <v>0</v>
      </c>
      <c r="H53" s="93">
        <f t="shared" si="23"/>
        <v>0</v>
      </c>
      <c r="I53" s="93">
        <f t="shared" si="23"/>
        <v>0</v>
      </c>
      <c r="J53" s="93">
        <f t="shared" si="23"/>
        <v>0</v>
      </c>
      <c r="K53" s="93">
        <f t="shared" si="23"/>
        <v>0</v>
      </c>
      <c r="L53" s="94">
        <f t="shared" si="23"/>
        <v>0</v>
      </c>
    </row>
    <row r="54" spans="1:12" ht="15">
      <c r="A54" s="92" t="s">
        <v>79</v>
      </c>
      <c r="B54" s="93">
        <f aca="true" t="shared" si="24" ref="B54:L54">IF($A$63=1,(OTW_BlackScholes($G$5,$B$63,B$48,$G$6,($G$3-$P$8)/365,$P$5,$G$9,$P$6)-$G$11)*$G$4*$P$4,OTW_BlackScholes($G$5,$B$63,B$48,$G$6,($G$3-$P$8)/365,$P$5,$G$9,$P$6)*$G$4*$P$4)</f>
        <v>0</v>
      </c>
      <c r="C54" s="93">
        <f t="shared" si="24"/>
        <v>0</v>
      </c>
      <c r="D54" s="93">
        <f t="shared" si="24"/>
        <v>0</v>
      </c>
      <c r="E54" s="93">
        <f t="shared" si="24"/>
        <v>0</v>
      </c>
      <c r="F54" s="93">
        <f t="shared" si="24"/>
        <v>0</v>
      </c>
      <c r="G54" s="93">
        <f t="shared" si="24"/>
        <v>0</v>
      </c>
      <c r="H54" s="93">
        <f t="shared" si="24"/>
        <v>0</v>
      </c>
      <c r="I54" s="93">
        <f t="shared" si="24"/>
        <v>0</v>
      </c>
      <c r="J54" s="93">
        <f t="shared" si="24"/>
        <v>0</v>
      </c>
      <c r="K54" s="93">
        <f t="shared" si="24"/>
        <v>0</v>
      </c>
      <c r="L54" s="94">
        <f t="shared" si="24"/>
        <v>0</v>
      </c>
    </row>
    <row r="55" spans="1:12" ht="15">
      <c r="A55" s="92" t="s">
        <v>80</v>
      </c>
      <c r="B55" s="93">
        <f aca="true" t="shared" si="25" ref="B55:L55">IF($A$63=1,(OTW_BlackScholes($H$5,$B$63,B$48,$H$6,($H$3-$P$8)/365,$P$5,$H$9,$P$6)-$H$11)*$H$4*$P$4,OTW_BlackScholes($H$5,$B$63,B$48,$H$6,($H$3-$P$8)/365,$P$5,$H$9,$P$6)*$H$4*$P$4)</f>
        <v>0</v>
      </c>
      <c r="C55" s="93">
        <f t="shared" si="25"/>
        <v>0</v>
      </c>
      <c r="D55" s="93">
        <f t="shared" si="25"/>
        <v>0</v>
      </c>
      <c r="E55" s="93">
        <f t="shared" si="25"/>
        <v>0</v>
      </c>
      <c r="F55" s="93">
        <f t="shared" si="25"/>
        <v>0</v>
      </c>
      <c r="G55" s="93">
        <f t="shared" si="25"/>
        <v>0</v>
      </c>
      <c r="H55" s="93">
        <f t="shared" si="25"/>
        <v>0</v>
      </c>
      <c r="I55" s="93">
        <f t="shared" si="25"/>
        <v>0</v>
      </c>
      <c r="J55" s="93">
        <f t="shared" si="25"/>
        <v>0</v>
      </c>
      <c r="K55" s="93">
        <f t="shared" si="25"/>
        <v>0</v>
      </c>
      <c r="L55" s="94">
        <f t="shared" si="25"/>
        <v>0</v>
      </c>
    </row>
    <row r="56" spans="1:12" ht="15">
      <c r="A56" s="92" t="s">
        <v>81</v>
      </c>
      <c r="B56" s="93">
        <f aca="true" t="shared" si="26" ref="B56:L56">IF($A$63=1,(OTW_BlackScholes($I$5,$B$63,B$48,$I$6,($I$3-$P$8)/365,$P$5,$I$9,$P$6)-$I$11)*$I$4*$P$4,OTW_BlackScholes($I$5,$B$63,B$48,$I$6,($I$3-$P$8)/365,$P$5,$I$9,$P$6)*$I$4*$P$4)</f>
        <v>0</v>
      </c>
      <c r="C56" s="93">
        <f t="shared" si="26"/>
        <v>0</v>
      </c>
      <c r="D56" s="93">
        <f t="shared" si="26"/>
        <v>0</v>
      </c>
      <c r="E56" s="93">
        <f t="shared" si="26"/>
        <v>0</v>
      </c>
      <c r="F56" s="93">
        <f t="shared" si="26"/>
        <v>0</v>
      </c>
      <c r="G56" s="93">
        <f t="shared" si="26"/>
        <v>0</v>
      </c>
      <c r="H56" s="93">
        <f t="shared" si="26"/>
        <v>0</v>
      </c>
      <c r="I56" s="93">
        <f t="shared" si="26"/>
        <v>0</v>
      </c>
      <c r="J56" s="93">
        <f t="shared" si="26"/>
        <v>0</v>
      </c>
      <c r="K56" s="93">
        <f t="shared" si="26"/>
        <v>0</v>
      </c>
      <c r="L56" s="94">
        <f t="shared" si="26"/>
        <v>0</v>
      </c>
    </row>
    <row r="57" spans="1:12" ht="15">
      <c r="A57" s="92" t="s">
        <v>82</v>
      </c>
      <c r="B57" s="93">
        <f aca="true" t="shared" si="27" ref="B57:L57">IF($A$63=1,(OTW_BlackScholes($J$5,$B$63,B$48,$J$6,($J$3-$P$8)/365,$P$5,$J$9,$P$6)-$J$11)*$J$4*$P$4,OTW_BlackScholes($J$5,$B$63,B$48,$J$6,($J$3-$P$8)/365,$P$5,$J$9,$P$6)*$J$4*$P$4)</f>
        <v>0</v>
      </c>
      <c r="C57" s="93">
        <f t="shared" si="27"/>
        <v>0</v>
      </c>
      <c r="D57" s="93">
        <f t="shared" si="27"/>
        <v>0</v>
      </c>
      <c r="E57" s="93">
        <f t="shared" si="27"/>
        <v>0</v>
      </c>
      <c r="F57" s="93">
        <f t="shared" si="27"/>
        <v>0</v>
      </c>
      <c r="G57" s="93">
        <f t="shared" si="27"/>
        <v>0</v>
      </c>
      <c r="H57" s="93">
        <f t="shared" si="27"/>
        <v>0</v>
      </c>
      <c r="I57" s="93">
        <f t="shared" si="27"/>
        <v>0</v>
      </c>
      <c r="J57" s="93">
        <f t="shared" si="27"/>
        <v>0</v>
      </c>
      <c r="K57" s="93">
        <f t="shared" si="27"/>
        <v>0</v>
      </c>
      <c r="L57" s="94">
        <f t="shared" si="27"/>
        <v>0</v>
      </c>
    </row>
    <row r="58" spans="1:12" ht="15">
      <c r="A58" s="92" t="s">
        <v>83</v>
      </c>
      <c r="B58" s="93">
        <f aca="true" t="shared" si="28" ref="B58:L58">IF($A$63=1,(OTW_BlackScholes($K$5,$B$63,B$48,$K$6,($K$3-$P$8)/365,$P$5,$K$9,$P$6)-$K$11)*$K$4*$P$4,OTW_BlackScholes($K$5,$B$63,B$48,$K$6,($K$3-$P$8)/365,$P$5,$K$9,$P$6)*$K$4*$P$4)</f>
        <v>0</v>
      </c>
      <c r="C58" s="93">
        <f t="shared" si="28"/>
        <v>0</v>
      </c>
      <c r="D58" s="93">
        <f t="shared" si="28"/>
        <v>0</v>
      </c>
      <c r="E58" s="93">
        <f t="shared" si="28"/>
        <v>0</v>
      </c>
      <c r="F58" s="93">
        <f t="shared" si="28"/>
        <v>0</v>
      </c>
      <c r="G58" s="93">
        <f t="shared" si="28"/>
        <v>0</v>
      </c>
      <c r="H58" s="93">
        <f t="shared" si="28"/>
        <v>0</v>
      </c>
      <c r="I58" s="93">
        <f t="shared" si="28"/>
        <v>0</v>
      </c>
      <c r="J58" s="93">
        <f t="shared" si="28"/>
        <v>0</v>
      </c>
      <c r="K58" s="93">
        <f t="shared" si="28"/>
        <v>0</v>
      </c>
      <c r="L58" s="94">
        <f t="shared" si="28"/>
        <v>0</v>
      </c>
    </row>
    <row r="59" spans="1:12" ht="15.75" thickBot="1">
      <c r="A59" s="95" t="s">
        <v>27</v>
      </c>
      <c r="B59" s="96">
        <f>SUM(B49:B58)</f>
        <v>39.18246330294198</v>
      </c>
      <c r="C59" s="96">
        <f aca="true" t="shared" si="29" ref="C59:L59">SUM(C49:C58)</f>
        <v>39.77188469680337</v>
      </c>
      <c r="D59" s="96">
        <f t="shared" si="29"/>
        <v>36.63450884370096</v>
      </c>
      <c r="E59" s="96">
        <f t="shared" si="29"/>
        <v>28.543376388238784</v>
      </c>
      <c r="F59" s="96">
        <f t="shared" si="29"/>
        <v>15.763597037230781</v>
      </c>
      <c r="G59" s="96">
        <f t="shared" si="29"/>
        <v>0</v>
      </c>
      <c r="H59" s="96">
        <f t="shared" si="29"/>
        <v>-16.38194192956668</v>
      </c>
      <c r="I59" s="96">
        <f t="shared" si="29"/>
        <v>-31.28908759273193</v>
      </c>
      <c r="J59" s="96">
        <f t="shared" si="29"/>
        <v>-43.46757537349825</v>
      </c>
      <c r="K59" s="96">
        <f t="shared" si="29"/>
        <v>-52.56646226622763</v>
      </c>
      <c r="L59" s="97">
        <f t="shared" si="29"/>
        <v>-58.87483167381265</v>
      </c>
    </row>
    <row r="60" spans="2:12" ht="15.75" thickTop="1">
      <c r="B60" s="19"/>
      <c r="C60" s="19"/>
      <c r="D60" s="19"/>
      <c r="E60" s="19"/>
      <c r="F60" s="19"/>
      <c r="G60" s="19"/>
      <c r="H60" s="19"/>
      <c r="I60" s="19"/>
      <c r="J60" s="19"/>
      <c r="K60" s="19"/>
      <c r="L60" s="19"/>
    </row>
    <row r="61" spans="2:12" ht="15">
      <c r="B61" s="19"/>
      <c r="C61" s="19"/>
      <c r="D61" s="19"/>
      <c r="E61" s="19"/>
      <c r="F61" s="19"/>
      <c r="G61" s="19"/>
      <c r="H61" s="19"/>
      <c r="I61" s="19"/>
      <c r="J61" s="19"/>
      <c r="K61" s="19"/>
      <c r="L61" s="19"/>
    </row>
    <row r="62" spans="1:12" ht="15">
      <c r="A62" s="85" t="s">
        <v>72</v>
      </c>
      <c r="B62" s="86"/>
      <c r="C62" s="86"/>
      <c r="D62" s="19"/>
      <c r="E62" s="19"/>
      <c r="F62" s="19"/>
      <c r="G62" s="19"/>
      <c r="H62" s="19"/>
      <c r="I62" s="19"/>
      <c r="J62" s="19"/>
      <c r="K62" s="19"/>
      <c r="L62" s="19"/>
    </row>
    <row r="63" spans="1:12" ht="15">
      <c r="A63" s="16">
        <v>1</v>
      </c>
      <c r="B63" s="19" t="str">
        <f>VLOOKUP($A$63,$A$64:$B$69,2,FALSE)</f>
        <v>P&amp;L (Theoretical)</v>
      </c>
      <c r="C63" s="19"/>
      <c r="D63" s="19"/>
      <c r="E63" s="19"/>
      <c r="F63" s="19"/>
      <c r="G63" s="19"/>
      <c r="H63" s="19"/>
      <c r="I63" s="19"/>
      <c r="J63" s="19"/>
      <c r="K63" s="19"/>
      <c r="L63" s="19"/>
    </row>
    <row r="64" spans="1:12" ht="15">
      <c r="A64" s="16">
        <v>1</v>
      </c>
      <c r="B64" s="100" t="s">
        <v>71</v>
      </c>
      <c r="C64" s="19"/>
      <c r="D64" s="19"/>
      <c r="E64" s="19"/>
      <c r="F64" s="19"/>
      <c r="G64" s="19"/>
      <c r="H64" s="19"/>
      <c r="I64" s="19"/>
      <c r="J64" s="19"/>
      <c r="K64" s="19"/>
      <c r="L64" s="19"/>
    </row>
    <row r="65" spans="1:12" ht="15">
      <c r="A65" s="16">
        <v>2</v>
      </c>
      <c r="B65" s="100" t="s">
        <v>4</v>
      </c>
      <c r="C65" s="19"/>
      <c r="D65" s="19"/>
      <c r="E65" s="19"/>
      <c r="F65" s="19"/>
      <c r="G65" s="19"/>
      <c r="H65" s="19"/>
      <c r="I65" s="19"/>
      <c r="J65" s="19"/>
      <c r="K65" s="19"/>
      <c r="L65" s="19"/>
    </row>
    <row r="66" spans="1:12" ht="15">
      <c r="A66" s="16">
        <v>3</v>
      </c>
      <c r="B66" s="100" t="s">
        <v>5</v>
      </c>
      <c r="C66" s="19"/>
      <c r="D66" s="19"/>
      <c r="E66" s="19"/>
      <c r="F66" s="19"/>
      <c r="G66" s="19"/>
      <c r="H66" s="19"/>
      <c r="I66" s="19"/>
      <c r="J66" s="19"/>
      <c r="K66" s="19"/>
      <c r="L66" s="19"/>
    </row>
    <row r="67" spans="1:12" ht="15">
      <c r="A67" s="16">
        <v>4</v>
      </c>
      <c r="B67" s="100" t="s">
        <v>7</v>
      </c>
      <c r="C67" s="19"/>
      <c r="D67" s="19"/>
      <c r="E67" s="19"/>
      <c r="F67" s="19"/>
      <c r="G67" s="19"/>
      <c r="H67" s="19"/>
      <c r="I67" s="19"/>
      <c r="J67" s="19"/>
      <c r="K67" s="19"/>
      <c r="L67" s="19"/>
    </row>
    <row r="68" spans="1:12" ht="15">
      <c r="A68" s="16">
        <v>5</v>
      </c>
      <c r="B68" s="100" t="s">
        <v>6</v>
      </c>
      <c r="C68" s="19"/>
      <c r="D68" s="19"/>
      <c r="E68" s="19"/>
      <c r="F68" s="19"/>
      <c r="G68" s="19"/>
      <c r="H68" s="19"/>
      <c r="I68" s="19"/>
      <c r="J68" s="19"/>
      <c r="K68" s="19"/>
      <c r="L68" s="19"/>
    </row>
    <row r="69" spans="1:12" ht="15">
      <c r="A69" s="16">
        <v>6</v>
      </c>
      <c r="B69" s="100" t="s">
        <v>18</v>
      </c>
      <c r="C69" s="19"/>
      <c r="D69" s="19"/>
      <c r="E69" s="19"/>
      <c r="F69" s="19"/>
      <c r="G69" s="19"/>
      <c r="H69" s="19"/>
      <c r="I69" s="19"/>
      <c r="J69" s="19"/>
      <c r="K69" s="19"/>
      <c r="L69" s="19"/>
    </row>
    <row r="70" spans="2:12" ht="15">
      <c r="B70" s="19"/>
      <c r="C70" s="19"/>
      <c r="D70" s="19"/>
      <c r="E70" s="19"/>
      <c r="F70" s="19"/>
      <c r="G70" s="19"/>
      <c r="H70" s="19"/>
      <c r="I70" s="19"/>
      <c r="J70" s="19"/>
      <c r="K70" s="19"/>
      <c r="L70" s="19"/>
    </row>
  </sheetData>
  <sheetProtection/>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www.OptionTradingTips.com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McPhee</dc:creator>
  <cp:keywords/>
  <dc:description/>
  <cp:lastModifiedBy>Peter McPhee</cp:lastModifiedBy>
  <dcterms:created xsi:type="dcterms:W3CDTF">2004-07-13T06:23:33Z</dcterms:created>
  <dcterms:modified xsi:type="dcterms:W3CDTF">2021-01-21T05:19:11Z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